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firstSheet="6" activeTab="8"/>
  </bookViews>
  <sheets>
    <sheet name="Тепло 2012г" sheetId="1" r:id="rId1"/>
    <sheet name="Тепло 2013г" sheetId="2" r:id="rId2"/>
    <sheet name="Вода 2012г" sheetId="3" r:id="rId3"/>
    <sheet name="Вода 2013г" sheetId="4" r:id="rId4"/>
    <sheet name="Водоотведение 2012г" sheetId="5" r:id="rId5"/>
    <sheet name="Водоотведение 2013г" sheetId="6" r:id="rId6"/>
    <sheet name="Тепло 1кв 2014г" sheetId="7" r:id="rId7"/>
    <sheet name="Вода 1кв 2014г" sheetId="8" r:id="rId8"/>
    <sheet name="Водоотведение 1кв 2014г" sheetId="9" r:id="rId9"/>
    <sheet name="Общая" sheetId="11" r:id="rId10"/>
  </sheets>
  <calcPr calcId="125725"/>
</workbook>
</file>

<file path=xl/calcChain.xml><?xml version="1.0" encoding="utf-8"?>
<calcChain xmlns="http://schemas.openxmlformats.org/spreadsheetml/2006/main">
  <c r="D4" i="11"/>
  <c r="O37" i="1" l="1"/>
  <c r="O36"/>
  <c r="O35"/>
  <c r="O31"/>
  <c r="O30"/>
  <c r="O29"/>
  <c r="N37"/>
  <c r="N36"/>
  <c r="N35"/>
  <c r="N30"/>
  <c r="N29"/>
  <c r="M37"/>
  <c r="M36"/>
  <c r="M35"/>
  <c r="M31"/>
  <c r="M30"/>
  <c r="M29"/>
  <c r="L31"/>
  <c r="J36"/>
  <c r="I29"/>
  <c r="H37"/>
  <c r="H36"/>
  <c r="H34"/>
  <c r="H33"/>
  <c r="H32"/>
  <c r="H31"/>
  <c r="H30"/>
  <c r="H29"/>
  <c r="G37"/>
  <c r="G36"/>
  <c r="G34"/>
  <c r="G33"/>
  <c r="G32"/>
  <c r="G31"/>
  <c r="G30"/>
  <c r="G29"/>
  <c r="F37"/>
  <c r="F36"/>
  <c r="F34"/>
  <c r="F33"/>
  <c r="F32"/>
  <c r="F31"/>
  <c r="F30"/>
  <c r="F29"/>
  <c r="E37"/>
  <c r="E36"/>
  <c r="E34"/>
  <c r="E33"/>
  <c r="E32"/>
  <c r="E31"/>
  <c r="E30"/>
  <c r="E29"/>
  <c r="D37"/>
  <c r="D36"/>
  <c r="D34"/>
  <c r="D33"/>
  <c r="D32"/>
  <c r="D31"/>
  <c r="D30"/>
  <c r="D29"/>
  <c r="O28" l="1"/>
  <c r="N28"/>
  <c r="M28"/>
  <c r="L28"/>
  <c r="K28"/>
  <c r="J28"/>
  <c r="I28"/>
  <c r="H28"/>
  <c r="G28"/>
  <c r="F28"/>
  <c r="E28"/>
  <c r="D28"/>
  <c r="F5" i="11" l="1"/>
  <c r="F9" s="1"/>
  <c r="F4"/>
  <c r="F7" s="1"/>
  <c r="F3"/>
  <c r="E5"/>
  <c r="E4"/>
  <c r="E7" s="1"/>
  <c r="E3"/>
  <c r="D5"/>
  <c r="D9" s="1"/>
  <c r="G4"/>
  <c r="D3"/>
  <c r="D7" s="1"/>
  <c r="D49" i="1"/>
  <c r="O20" i="5"/>
  <c r="N20"/>
  <c r="M20"/>
  <c r="L20"/>
  <c r="K20"/>
  <c r="J20"/>
  <c r="I20"/>
  <c r="H20"/>
  <c r="G20"/>
  <c r="F20"/>
  <c r="E20"/>
  <c r="D20"/>
  <c r="P20" l="1"/>
  <c r="E9" i="11"/>
  <c r="D6"/>
  <c r="D8"/>
  <c r="F6"/>
  <c r="F8"/>
  <c r="E6"/>
  <c r="E8"/>
  <c r="G7"/>
  <c r="P28" i="1"/>
  <c r="G3" i="11"/>
  <c r="G5"/>
  <c r="G9" s="1"/>
  <c r="F42" i="9"/>
  <c r="F40"/>
  <c r="F39"/>
  <c r="F37"/>
  <c r="F35"/>
  <c r="F34"/>
  <c r="F33"/>
  <c r="E42"/>
  <c r="E40"/>
  <c r="E39"/>
  <c r="E35"/>
  <c r="E34"/>
  <c r="E33"/>
  <c r="D42"/>
  <c r="D40"/>
  <c r="D39"/>
  <c r="D35"/>
  <c r="G35" s="1"/>
  <c r="D34"/>
  <c r="D33"/>
  <c r="F31"/>
  <c r="F29"/>
  <c r="F24"/>
  <c r="F23"/>
  <c r="F22"/>
  <c r="E31"/>
  <c r="E29"/>
  <c r="G29" s="1"/>
  <c r="E24"/>
  <c r="E23"/>
  <c r="E22"/>
  <c r="D31"/>
  <c r="D29"/>
  <c r="D24"/>
  <c r="D23"/>
  <c r="D22"/>
  <c r="F41" i="8"/>
  <c r="F39"/>
  <c r="F38"/>
  <c r="F36"/>
  <c r="F34"/>
  <c r="F33"/>
  <c r="F32"/>
  <c r="E41"/>
  <c r="E39"/>
  <c r="E38"/>
  <c r="E34"/>
  <c r="E33"/>
  <c r="E32"/>
  <c r="D41"/>
  <c r="D39"/>
  <c r="D38"/>
  <c r="D34"/>
  <c r="D33"/>
  <c r="D32"/>
  <c r="G32" s="1"/>
  <c r="F30"/>
  <c r="F28"/>
  <c r="F23"/>
  <c r="F22"/>
  <c r="F21"/>
  <c r="E30"/>
  <c r="E28"/>
  <c r="E23"/>
  <c r="E22"/>
  <c r="E21"/>
  <c r="E20" s="1"/>
  <c r="D30"/>
  <c r="D28"/>
  <c r="G28" s="1"/>
  <c r="D23"/>
  <c r="D22"/>
  <c r="G22" s="1"/>
  <c r="D21"/>
  <c r="G21" s="1"/>
  <c r="F50" i="7"/>
  <c r="F48"/>
  <c r="F47"/>
  <c r="F45"/>
  <c r="F43"/>
  <c r="F42"/>
  <c r="F41"/>
  <c r="E50"/>
  <c r="E48"/>
  <c r="E47"/>
  <c r="E43"/>
  <c r="E42"/>
  <c r="E41"/>
  <c r="G41" s="1"/>
  <c r="D50"/>
  <c r="D48"/>
  <c r="D47"/>
  <c r="D43"/>
  <c r="D42"/>
  <c r="G42" s="1"/>
  <c r="F29"/>
  <c r="E29"/>
  <c r="D29"/>
  <c r="G29" s="1"/>
  <c r="F39"/>
  <c r="G41" i="9"/>
  <c r="G39"/>
  <c r="G38"/>
  <c r="G37"/>
  <c r="G36"/>
  <c r="G31"/>
  <c r="G30"/>
  <c r="G28"/>
  <c r="G27"/>
  <c r="G26"/>
  <c r="G25"/>
  <c r="G24"/>
  <c r="G19"/>
  <c r="F17"/>
  <c r="E17"/>
  <c r="D17"/>
  <c r="G16"/>
  <c r="G15"/>
  <c r="G14"/>
  <c r="F13"/>
  <c r="E13"/>
  <c r="E18" s="1"/>
  <c r="D13"/>
  <c r="D18" s="1"/>
  <c r="G12"/>
  <c r="F11"/>
  <c r="E11"/>
  <c r="D11"/>
  <c r="G10"/>
  <c r="F9"/>
  <c r="E9"/>
  <c r="D9"/>
  <c r="G8"/>
  <c r="G7"/>
  <c r="F6"/>
  <c r="E6"/>
  <c r="D6"/>
  <c r="G5"/>
  <c r="G4"/>
  <c r="G40" i="8"/>
  <c r="G39"/>
  <c r="G38"/>
  <c r="G37"/>
  <c r="G36"/>
  <c r="G35"/>
  <c r="G33"/>
  <c r="G29"/>
  <c r="G27"/>
  <c r="G26"/>
  <c r="G25"/>
  <c r="D25"/>
  <c r="G24"/>
  <c r="G23"/>
  <c r="F20"/>
  <c r="G17"/>
  <c r="G16"/>
  <c r="G15"/>
  <c r="F13"/>
  <c r="E13"/>
  <c r="D13"/>
  <c r="D18" s="1"/>
  <c r="G12"/>
  <c r="F11"/>
  <c r="E11"/>
  <c r="D11"/>
  <c r="G10"/>
  <c r="G11" s="1"/>
  <c r="G9"/>
  <c r="G8"/>
  <c r="F7"/>
  <c r="F18" s="1"/>
  <c r="E7"/>
  <c r="F6"/>
  <c r="E6"/>
  <c r="D6"/>
  <c r="G5"/>
  <c r="G4"/>
  <c r="G49" i="7"/>
  <c r="G48"/>
  <c r="G47"/>
  <c r="G46"/>
  <c r="G45"/>
  <c r="G44"/>
  <c r="E39"/>
  <c r="D39"/>
  <c r="G38"/>
  <c r="G37"/>
  <c r="G36"/>
  <c r="G35"/>
  <c r="G34"/>
  <c r="G33"/>
  <c r="G32"/>
  <c r="G31"/>
  <c r="G30"/>
  <c r="G27"/>
  <c r="G25"/>
  <c r="G24"/>
  <c r="G23"/>
  <c r="G22"/>
  <c r="F21"/>
  <c r="E21"/>
  <c r="D21"/>
  <c r="D26" s="1"/>
  <c r="D52" s="1"/>
  <c r="G20"/>
  <c r="F19"/>
  <c r="E19"/>
  <c r="G17"/>
  <c r="F16"/>
  <c r="E16"/>
  <c r="G15"/>
  <c r="F14"/>
  <c r="E14"/>
  <c r="F13"/>
  <c r="E13"/>
  <c r="D13"/>
  <c r="G12"/>
  <c r="G11"/>
  <c r="F10"/>
  <c r="E10"/>
  <c r="D10"/>
  <c r="G9"/>
  <c r="G8"/>
  <c r="G7"/>
  <c r="F6"/>
  <c r="E6"/>
  <c r="D6"/>
  <c r="G5"/>
  <c r="G4"/>
  <c r="G9" i="9" l="1"/>
  <c r="G22"/>
  <c r="F21"/>
  <c r="G34"/>
  <c r="G8" i="11"/>
  <c r="F43" i="8"/>
  <c r="F18" i="9"/>
  <c r="G43" i="7"/>
  <c r="F40"/>
  <c r="E21" i="9"/>
  <c r="E44" s="1"/>
  <c r="G23"/>
  <c r="G40"/>
  <c r="G6" i="11"/>
  <c r="F32" i="9"/>
  <c r="G33"/>
  <c r="G42"/>
  <c r="E32"/>
  <c r="D32"/>
  <c r="G21"/>
  <c r="D21"/>
  <c r="D44" s="1"/>
  <c r="G17"/>
  <c r="G11"/>
  <c r="G34" i="8"/>
  <c r="G6"/>
  <c r="G41"/>
  <c r="E31"/>
  <c r="G7"/>
  <c r="D20"/>
  <c r="D43" s="1"/>
  <c r="G30"/>
  <c r="F31"/>
  <c r="D31"/>
  <c r="G20"/>
  <c r="G50" i="7"/>
  <c r="E40"/>
  <c r="D40"/>
  <c r="G10"/>
  <c r="G6"/>
  <c r="G13"/>
  <c r="G16"/>
  <c r="G19"/>
  <c r="E26"/>
  <c r="E52" s="1"/>
  <c r="G21"/>
  <c r="G14"/>
  <c r="F26"/>
  <c r="F52" s="1"/>
  <c r="G6" i="9"/>
  <c r="G13"/>
  <c r="G18" s="1"/>
  <c r="E18" i="8"/>
  <c r="E43" s="1"/>
  <c r="G13"/>
  <c r="G39" i="7"/>
  <c r="E53" l="1"/>
  <c r="E51"/>
  <c r="F44" i="8"/>
  <c r="F42"/>
  <c r="E44"/>
  <c r="E42"/>
  <c r="D45" i="9"/>
  <c r="D43"/>
  <c r="F45"/>
  <c r="F43"/>
  <c r="F53" i="7"/>
  <c r="F51"/>
  <c r="D53"/>
  <c r="D51"/>
  <c r="D44" i="8"/>
  <c r="D42"/>
  <c r="E45" i="9"/>
  <c r="E43"/>
  <c r="G44"/>
  <c r="F44"/>
  <c r="G32"/>
  <c r="G31" i="8"/>
  <c r="G40" i="7"/>
  <c r="G26"/>
  <c r="G52" s="1"/>
  <c r="G18" i="8"/>
  <c r="G43" s="1"/>
  <c r="G53" i="7" l="1"/>
  <c r="G51"/>
  <c r="G44" i="8"/>
  <c r="G42"/>
  <c r="G45" i="9"/>
  <c r="G43"/>
  <c r="O42" i="6"/>
  <c r="O41"/>
  <c r="O40"/>
  <c r="O39"/>
  <c r="O37"/>
  <c r="O35"/>
  <c r="O34"/>
  <c r="O33"/>
  <c r="N42"/>
  <c r="N41"/>
  <c r="N40"/>
  <c r="N39"/>
  <c r="N38"/>
  <c r="N37"/>
  <c r="N35"/>
  <c r="N34"/>
  <c r="N33"/>
  <c r="M42"/>
  <c r="M41"/>
  <c r="M40"/>
  <c r="M39"/>
  <c r="M37"/>
  <c r="M36"/>
  <c r="M35"/>
  <c r="M34"/>
  <c r="M33"/>
  <c r="L42"/>
  <c r="L40"/>
  <c r="L39"/>
  <c r="L37"/>
  <c r="L36"/>
  <c r="L35"/>
  <c r="L34"/>
  <c r="L33"/>
  <c r="K42"/>
  <c r="K41"/>
  <c r="K40"/>
  <c r="K39"/>
  <c r="K38"/>
  <c r="K37"/>
  <c r="K36"/>
  <c r="K35"/>
  <c r="K34"/>
  <c r="K33"/>
  <c r="J42"/>
  <c r="J41"/>
  <c r="J40"/>
  <c r="J39"/>
  <c r="J38"/>
  <c r="J36"/>
  <c r="J35"/>
  <c r="J34"/>
  <c r="J33"/>
  <c r="I42"/>
  <c r="I41"/>
  <c r="I40"/>
  <c r="I39"/>
  <c r="I35"/>
  <c r="I34"/>
  <c r="I33"/>
  <c r="H42"/>
  <c r="H41"/>
  <c r="H40"/>
  <c r="H39"/>
  <c r="H35"/>
  <c r="H34"/>
  <c r="H33"/>
  <c r="G42"/>
  <c r="G41"/>
  <c r="G40"/>
  <c r="G39"/>
  <c r="G37"/>
  <c r="G35"/>
  <c r="G34"/>
  <c r="G33"/>
  <c r="F42"/>
  <c r="F40"/>
  <c r="F39"/>
  <c r="F38"/>
  <c r="F35"/>
  <c r="F34"/>
  <c r="F33"/>
  <c r="E42"/>
  <c r="E40"/>
  <c r="E39"/>
  <c r="E37"/>
  <c r="E35"/>
  <c r="E34"/>
  <c r="E33"/>
  <c r="D42"/>
  <c r="D40"/>
  <c r="D39"/>
  <c r="D38"/>
  <c r="D37"/>
  <c r="D34"/>
  <c r="D33"/>
  <c r="O41" i="4" l="1"/>
  <c r="O40"/>
  <c r="O39"/>
  <c r="O38"/>
  <c r="O36"/>
  <c r="O34"/>
  <c r="O33"/>
  <c r="O32"/>
  <c r="N41"/>
  <c r="N40"/>
  <c r="N39"/>
  <c r="N38"/>
  <c r="N37"/>
  <c r="N36"/>
  <c r="N34"/>
  <c r="N33"/>
  <c r="N32"/>
  <c r="M41"/>
  <c r="M40"/>
  <c r="M39"/>
  <c r="M38"/>
  <c r="M36"/>
  <c r="M35"/>
  <c r="M34"/>
  <c r="M33"/>
  <c r="M32"/>
  <c r="L41"/>
  <c r="L39"/>
  <c r="L38"/>
  <c r="L36"/>
  <c r="L35"/>
  <c r="L34"/>
  <c r="L33"/>
  <c r="L32"/>
  <c r="K41"/>
  <c r="K40"/>
  <c r="K39"/>
  <c r="K38"/>
  <c r="K37"/>
  <c r="K36"/>
  <c r="K35"/>
  <c r="K34"/>
  <c r="K33"/>
  <c r="K32"/>
  <c r="J41"/>
  <c r="J40"/>
  <c r="J39"/>
  <c r="J38"/>
  <c r="J37"/>
  <c r="J35"/>
  <c r="J34"/>
  <c r="J33"/>
  <c r="J32"/>
  <c r="I41"/>
  <c r="I40"/>
  <c r="I39"/>
  <c r="I38"/>
  <c r="I34"/>
  <c r="I33"/>
  <c r="I32"/>
  <c r="H41"/>
  <c r="H40"/>
  <c r="H39"/>
  <c r="H38"/>
  <c r="H34"/>
  <c r="H33"/>
  <c r="H32"/>
  <c r="G41"/>
  <c r="G40"/>
  <c r="G39"/>
  <c r="G38"/>
  <c r="G36"/>
  <c r="G34"/>
  <c r="G33"/>
  <c r="G32"/>
  <c r="F41"/>
  <c r="F39"/>
  <c r="F38"/>
  <c r="F37"/>
  <c r="F34"/>
  <c r="F33"/>
  <c r="F32"/>
  <c r="E41"/>
  <c r="E39"/>
  <c r="E38"/>
  <c r="E36"/>
  <c r="E34"/>
  <c r="E33"/>
  <c r="E32"/>
  <c r="D41"/>
  <c r="D39"/>
  <c r="D38"/>
  <c r="D37"/>
  <c r="D36"/>
  <c r="D33"/>
  <c r="D32"/>
  <c r="O39" i="3"/>
  <c r="O38"/>
  <c r="O37"/>
  <c r="O36"/>
  <c r="O35"/>
  <c r="O33"/>
  <c r="O32"/>
  <c r="O31"/>
  <c r="N39"/>
  <c r="N38"/>
  <c r="N37"/>
  <c r="N36"/>
  <c r="N35"/>
  <c r="N34"/>
  <c r="N33"/>
  <c r="N32"/>
  <c r="N31"/>
  <c r="M39"/>
  <c r="M38"/>
  <c r="M37"/>
  <c r="M36"/>
  <c r="M35"/>
  <c r="M34"/>
  <c r="M33"/>
  <c r="M32"/>
  <c r="M31"/>
  <c r="L39"/>
  <c r="L38"/>
  <c r="L37"/>
  <c r="L36"/>
  <c r="L35"/>
  <c r="L33"/>
  <c r="L32"/>
  <c r="L31"/>
  <c r="K39"/>
  <c r="K38"/>
  <c r="K37"/>
  <c r="K36"/>
  <c r="K35"/>
  <c r="K34"/>
  <c r="K33"/>
  <c r="K32"/>
  <c r="K31"/>
  <c r="J39"/>
  <c r="J38"/>
  <c r="J37"/>
  <c r="J36"/>
  <c r="J35"/>
  <c r="J34"/>
  <c r="J33"/>
  <c r="J32"/>
  <c r="J31"/>
  <c r="I39"/>
  <c r="I38"/>
  <c r="I36"/>
  <c r="I35"/>
  <c r="I33"/>
  <c r="I32"/>
  <c r="I31"/>
  <c r="H39"/>
  <c r="H38"/>
  <c r="H36"/>
  <c r="H35"/>
  <c r="H34"/>
  <c r="H33"/>
  <c r="H32"/>
  <c r="H31"/>
  <c r="G39"/>
  <c r="G38"/>
  <c r="G36"/>
  <c r="G35"/>
  <c r="G34"/>
  <c r="G33"/>
  <c r="G32"/>
  <c r="G31"/>
  <c r="F39"/>
  <c r="F38"/>
  <c r="F36"/>
  <c r="F35"/>
  <c r="F33"/>
  <c r="F32"/>
  <c r="F31"/>
  <c r="E39"/>
  <c r="E38"/>
  <c r="E36"/>
  <c r="E35"/>
  <c r="E34"/>
  <c r="E33"/>
  <c r="E32"/>
  <c r="E31"/>
  <c r="D39"/>
  <c r="D38"/>
  <c r="D36"/>
  <c r="D35"/>
  <c r="D34"/>
  <c r="D33"/>
  <c r="D32"/>
  <c r="D31"/>
  <c r="O49" i="2"/>
  <c r="O47"/>
  <c r="O46"/>
  <c r="O42"/>
  <c r="O41"/>
  <c r="O40"/>
  <c r="N49"/>
  <c r="N47"/>
  <c r="N46"/>
  <c r="N42"/>
  <c r="N41"/>
  <c r="N40"/>
  <c r="M49"/>
  <c r="M47"/>
  <c r="M46"/>
  <c r="M42"/>
  <c r="M41"/>
  <c r="M40"/>
  <c r="L49"/>
  <c r="L47"/>
  <c r="L46"/>
  <c r="L42"/>
  <c r="L41"/>
  <c r="L40"/>
  <c r="K49"/>
  <c r="K47"/>
  <c r="K46"/>
  <c r="K42"/>
  <c r="K41"/>
  <c r="J49"/>
  <c r="J47"/>
  <c r="J46"/>
  <c r="J42"/>
  <c r="J41"/>
  <c r="J40"/>
  <c r="I49"/>
  <c r="I47"/>
  <c r="I46"/>
  <c r="I42"/>
  <c r="I41"/>
  <c r="I40"/>
  <c r="H49"/>
  <c r="H47"/>
  <c r="H46"/>
  <c r="H42"/>
  <c r="H41"/>
  <c r="H40"/>
  <c r="G49"/>
  <c r="G47"/>
  <c r="G46"/>
  <c r="G45"/>
  <c r="G44"/>
  <c r="G42"/>
  <c r="G41"/>
  <c r="G40"/>
  <c r="F40"/>
  <c r="F49"/>
  <c r="F47"/>
  <c r="F46"/>
  <c r="F42"/>
  <c r="F41"/>
  <c r="E49"/>
  <c r="E47"/>
  <c r="E46"/>
  <c r="E44"/>
  <c r="E42"/>
  <c r="E41" l="1"/>
  <c r="E40"/>
  <c r="D49"/>
  <c r="D47"/>
  <c r="D46"/>
  <c r="D44"/>
  <c r="D42"/>
  <c r="D41"/>
  <c r="D40"/>
  <c r="O47" i="1"/>
  <c r="O46"/>
  <c r="O45"/>
  <c r="O43"/>
  <c r="O41"/>
  <c r="O40"/>
  <c r="O39"/>
  <c r="N47"/>
  <c r="N46"/>
  <c r="N45"/>
  <c r="N43"/>
  <c r="N41"/>
  <c r="N40"/>
  <c r="N39"/>
  <c r="M47"/>
  <c r="M46"/>
  <c r="M45"/>
  <c r="M43"/>
  <c r="M42"/>
  <c r="M41"/>
  <c r="M40"/>
  <c r="M39"/>
  <c r="L47"/>
  <c r="L43"/>
  <c r="L42"/>
  <c r="L41"/>
  <c r="K47"/>
  <c r="K44"/>
  <c r="K43"/>
  <c r="K42"/>
  <c r="K41"/>
  <c r="K40"/>
  <c r="K39"/>
  <c r="J47"/>
  <c r="J44"/>
  <c r="J43"/>
  <c r="J42"/>
  <c r="J40"/>
  <c r="I47"/>
  <c r="I45"/>
  <c r="I44"/>
  <c r="I43"/>
  <c r="I42"/>
  <c r="I41"/>
  <c r="I40"/>
  <c r="I39"/>
  <c r="H47"/>
  <c r="H44"/>
  <c r="H43"/>
  <c r="H42"/>
  <c r="H41"/>
  <c r="H40"/>
  <c r="H39"/>
  <c r="G47"/>
  <c r="G44"/>
  <c r="G43"/>
  <c r="G42"/>
  <c r="G41"/>
  <c r="G40"/>
  <c r="G39"/>
  <c r="F47"/>
  <c r="F44"/>
  <c r="F43"/>
  <c r="F42"/>
  <c r="F41"/>
  <c r="F40"/>
  <c r="F39"/>
  <c r="E47"/>
  <c r="E44"/>
  <c r="E43"/>
  <c r="E42"/>
  <c r="E41"/>
  <c r="E40"/>
  <c r="E39"/>
  <c r="D47"/>
  <c r="D44"/>
  <c r="D43"/>
  <c r="D42"/>
  <c r="D41"/>
  <c r="D40"/>
  <c r="D39"/>
  <c r="O31" i="6"/>
  <c r="N31"/>
  <c r="M31"/>
  <c r="L31"/>
  <c r="K31"/>
  <c r="J31"/>
  <c r="I31"/>
  <c r="H31"/>
  <c r="G31"/>
  <c r="F31"/>
  <c r="E31"/>
  <c r="D31"/>
  <c r="O30" i="4"/>
  <c r="N30"/>
  <c r="M30"/>
  <c r="L30"/>
  <c r="K30"/>
  <c r="J30"/>
  <c r="I30"/>
  <c r="H21"/>
  <c r="H30" s="1"/>
  <c r="G21"/>
  <c r="G30" s="1"/>
  <c r="F21"/>
  <c r="F30" s="1"/>
  <c r="E21"/>
  <c r="E30" s="1"/>
  <c r="D28"/>
  <c r="D27"/>
  <c r="D25"/>
  <c r="D23"/>
  <c r="D22"/>
  <c r="D21"/>
  <c r="D30" s="1"/>
  <c r="O38" i="2"/>
  <c r="N38"/>
  <c r="M38"/>
  <c r="L38"/>
  <c r="G38"/>
  <c r="F38"/>
  <c r="E38"/>
  <c r="D38"/>
  <c r="M38" i="1" l="1"/>
  <c r="N38"/>
  <c r="I38"/>
  <c r="O38"/>
  <c r="P20" i="4"/>
  <c r="P21" i="6"/>
  <c r="P29" i="2"/>
  <c r="P20" i="3"/>
  <c r="O48" i="1" l="1"/>
  <c r="M48"/>
  <c r="N48"/>
  <c r="I48"/>
  <c r="O17" i="6"/>
  <c r="N17"/>
  <c r="M17"/>
  <c r="L17"/>
  <c r="K17"/>
  <c r="J17"/>
  <c r="I17"/>
  <c r="H17"/>
  <c r="G17"/>
  <c r="F17"/>
  <c r="E17"/>
  <c r="D17"/>
  <c r="P19"/>
  <c r="O10"/>
  <c r="E10"/>
  <c r="E13" s="1"/>
  <c r="L10"/>
  <c r="L13" s="1"/>
  <c r="K10"/>
  <c r="K13" s="1"/>
  <c r="O17" i="5" l="1"/>
  <c r="N17"/>
  <c r="M17"/>
  <c r="L17"/>
  <c r="K17"/>
  <c r="J17"/>
  <c r="I17"/>
  <c r="H17"/>
  <c r="G17"/>
  <c r="F17"/>
  <c r="E17"/>
  <c r="D17"/>
  <c r="H13"/>
  <c r="K17" i="3"/>
  <c r="O17"/>
  <c r="N17"/>
  <c r="M17"/>
  <c r="L17"/>
  <c r="J17"/>
  <c r="I17"/>
  <c r="H17"/>
  <c r="G17"/>
  <c r="F17"/>
  <c r="E17"/>
  <c r="D17"/>
  <c r="O13"/>
  <c r="N13"/>
  <c r="M13"/>
  <c r="L13"/>
  <c r="K13"/>
  <c r="J13"/>
  <c r="I13"/>
  <c r="I18" s="1"/>
  <c r="I41" s="1"/>
  <c r="H13"/>
  <c r="H18" s="1"/>
  <c r="H41" s="1"/>
  <c r="G13"/>
  <c r="G18" s="1"/>
  <c r="G41" s="1"/>
  <c r="F13"/>
  <c r="F18" s="1"/>
  <c r="F41" s="1"/>
  <c r="E13"/>
  <c r="E18" s="1"/>
  <c r="E41" s="1"/>
  <c r="D13"/>
  <c r="D18" s="1"/>
  <c r="D41" s="1"/>
  <c r="P8"/>
  <c r="P9" s="1"/>
  <c r="D9"/>
  <c r="O4"/>
  <c r="O18" s="1"/>
  <c r="O41" s="1"/>
  <c r="N4"/>
  <c r="M4"/>
  <c r="L4"/>
  <c r="L18" s="1"/>
  <c r="L41" s="1"/>
  <c r="K4"/>
  <c r="J4"/>
  <c r="O25" i="2"/>
  <c r="N25"/>
  <c r="M25"/>
  <c r="L25"/>
  <c r="K25"/>
  <c r="J25"/>
  <c r="I25"/>
  <c r="H25"/>
  <c r="G25"/>
  <c r="F25"/>
  <c r="E25"/>
  <c r="D25"/>
  <c r="O21"/>
  <c r="N21"/>
  <c r="M21"/>
  <c r="H21"/>
  <c r="F21"/>
  <c r="E21"/>
  <c r="D21"/>
  <c r="D14"/>
  <c r="K27"/>
  <c r="P27" s="1"/>
  <c r="P20"/>
  <c r="O19"/>
  <c r="N19"/>
  <c r="M19"/>
  <c r="L19"/>
  <c r="K19"/>
  <c r="J19"/>
  <c r="I19"/>
  <c r="H19"/>
  <c r="G19"/>
  <c r="F19"/>
  <c r="E19"/>
  <c r="D19"/>
  <c r="P20" i="1"/>
  <c r="G15" i="2"/>
  <c r="G21" s="1"/>
  <c r="N4"/>
  <c r="N6" s="1"/>
  <c r="M4"/>
  <c r="M6" s="1"/>
  <c r="O8"/>
  <c r="N8"/>
  <c r="M8"/>
  <c r="M10" s="1"/>
  <c r="L8"/>
  <c r="I8"/>
  <c r="H8"/>
  <c r="G8"/>
  <c r="F8"/>
  <c r="E8"/>
  <c r="D8"/>
  <c r="O7"/>
  <c r="N7"/>
  <c r="M7"/>
  <c r="L7"/>
  <c r="H7"/>
  <c r="G7"/>
  <c r="F7"/>
  <c r="E7"/>
  <c r="D7"/>
  <c r="P7" s="1"/>
  <c r="D6"/>
  <c r="P24" i="1"/>
  <c r="D14"/>
  <c r="O15"/>
  <c r="O14" s="1"/>
  <c r="O11"/>
  <c r="N11"/>
  <c r="M11"/>
  <c r="L11"/>
  <c r="I11"/>
  <c r="O8"/>
  <c r="N8"/>
  <c r="M8"/>
  <c r="M10" s="1"/>
  <c r="L8"/>
  <c r="G8"/>
  <c r="F8"/>
  <c r="E8"/>
  <c r="D8"/>
  <c r="O7"/>
  <c r="N7"/>
  <c r="M7"/>
  <c r="H7"/>
  <c r="G7"/>
  <c r="F7"/>
  <c r="E7"/>
  <c r="D7"/>
  <c r="O4"/>
  <c r="N4"/>
  <c r="M4"/>
  <c r="H4"/>
  <c r="G4"/>
  <c r="F4"/>
  <c r="E4"/>
  <c r="D4"/>
  <c r="I10" i="2"/>
  <c r="O6"/>
  <c r="L6"/>
  <c r="H6"/>
  <c r="G6"/>
  <c r="F6"/>
  <c r="E6"/>
  <c r="I4"/>
  <c r="P25" l="1"/>
  <c r="P4" i="3"/>
  <c r="J18"/>
  <c r="J41" s="1"/>
  <c r="N18"/>
  <c r="N41" s="1"/>
  <c r="M18"/>
  <c r="M41" s="1"/>
  <c r="K18"/>
  <c r="K41" s="1"/>
  <c r="P19" i="2"/>
  <c r="D26"/>
  <c r="D51" s="1"/>
  <c r="O26" i="1"/>
  <c r="D38"/>
  <c r="G16" i="2"/>
  <c r="O49" i="1" l="1"/>
  <c r="O50"/>
  <c r="D48"/>
  <c r="D50"/>
  <c r="H32" i="2"/>
  <c r="H31"/>
  <c r="H30"/>
  <c r="H38" l="1"/>
  <c r="P41" i="6"/>
  <c r="D30" i="3" l="1"/>
  <c r="P12"/>
  <c r="P12" i="5"/>
  <c r="F9"/>
  <c r="N9"/>
  <c r="M9"/>
  <c r="O7"/>
  <c r="E7"/>
  <c r="D7"/>
  <c r="O8"/>
  <c r="E8"/>
  <c r="D42" i="3" l="1"/>
  <c r="D40"/>
  <c r="D9" i="5"/>
  <c r="O9"/>
  <c r="E9"/>
  <c r="M25" i="3" l="1"/>
  <c r="M23"/>
  <c r="N21"/>
  <c r="M21"/>
  <c r="L21"/>
  <c r="J21"/>
  <c r="G26"/>
  <c r="F26"/>
  <c r="D23"/>
  <c r="F21"/>
  <c r="D21"/>
  <c r="H30"/>
  <c r="M6" i="1"/>
  <c r="O6"/>
  <c r="N6"/>
  <c r="I4"/>
  <c r="P4" s="1"/>
  <c r="H6"/>
  <c r="G6"/>
  <c r="F6"/>
  <c r="D6"/>
  <c r="E6"/>
  <c r="H42" i="3" l="1"/>
  <c r="H40"/>
  <c r="O13" i="1"/>
  <c r="N13"/>
  <c r="M13"/>
  <c r="L13"/>
  <c r="K13"/>
  <c r="J13"/>
  <c r="I13"/>
  <c r="D10"/>
  <c r="O4" i="5"/>
  <c r="N4"/>
  <c r="M4"/>
  <c r="L4"/>
  <c r="K4"/>
  <c r="J4"/>
  <c r="D6" i="3"/>
  <c r="L8" i="6"/>
  <c r="G8"/>
  <c r="F8"/>
  <c r="E8"/>
  <c r="D8"/>
  <c r="O7"/>
  <c r="O9" s="1"/>
  <c r="N7"/>
  <c r="N9" s="1"/>
  <c r="M7"/>
  <c r="M9" s="1"/>
  <c r="L7"/>
  <c r="H7"/>
  <c r="H9" s="1"/>
  <c r="G7"/>
  <c r="G9" s="1"/>
  <c r="F7"/>
  <c r="E7"/>
  <c r="E9" s="1"/>
  <c r="D7"/>
  <c r="O5"/>
  <c r="N5"/>
  <c r="M5"/>
  <c r="L5"/>
  <c r="I4"/>
  <c r="L4"/>
  <c r="K4"/>
  <c r="J4"/>
  <c r="H4"/>
  <c r="G4"/>
  <c r="F4"/>
  <c r="E4"/>
  <c r="D4"/>
  <c r="O5" i="4"/>
  <c r="N5"/>
  <c r="M5"/>
  <c r="L5"/>
  <c r="K5"/>
  <c r="J5"/>
  <c r="H5"/>
  <c r="G5"/>
  <c r="F5"/>
  <c r="E5"/>
  <c r="D5"/>
  <c r="O4"/>
  <c r="N4"/>
  <c r="M4"/>
  <c r="L4"/>
  <c r="K4"/>
  <c r="J4"/>
  <c r="I4"/>
  <c r="H4"/>
  <c r="G4"/>
  <c r="F4"/>
  <c r="E4"/>
  <c r="D4"/>
  <c r="P17" i="2"/>
  <c r="D10"/>
  <c r="O10"/>
  <c r="N10"/>
  <c r="L10"/>
  <c r="H10"/>
  <c r="G10"/>
  <c r="F10"/>
  <c r="E10"/>
  <c r="N11"/>
  <c r="L11"/>
  <c r="K11"/>
  <c r="K13" s="1"/>
  <c r="J11"/>
  <c r="J13" s="1"/>
  <c r="I11"/>
  <c r="I13" s="1"/>
  <c r="G11"/>
  <c r="O12"/>
  <c r="O13" s="1"/>
  <c r="N12"/>
  <c r="M12"/>
  <c r="L12"/>
  <c r="H12"/>
  <c r="F12"/>
  <c r="F13" s="1"/>
  <c r="E12"/>
  <c r="D12"/>
  <c r="M10" i="6"/>
  <c r="M13" s="1"/>
  <c r="N10"/>
  <c r="N13" s="1"/>
  <c r="J10"/>
  <c r="J13" s="1"/>
  <c r="I10"/>
  <c r="I13" s="1"/>
  <c r="H10"/>
  <c r="G10"/>
  <c r="G13" s="1"/>
  <c r="F10"/>
  <c r="F13" s="1"/>
  <c r="D10"/>
  <c r="D13" s="1"/>
  <c r="O10" i="4"/>
  <c r="N10"/>
  <c r="M10"/>
  <c r="L10"/>
  <c r="K10"/>
  <c r="J10"/>
  <c r="I10"/>
  <c r="I11" s="1"/>
  <c r="H10"/>
  <c r="H11" s="1"/>
  <c r="G10"/>
  <c r="F10"/>
  <c r="E10"/>
  <c r="K11"/>
  <c r="M11"/>
  <c r="O11"/>
  <c r="D10"/>
  <c r="N11" i="3"/>
  <c r="L11"/>
  <c r="J11"/>
  <c r="I11"/>
  <c r="H11"/>
  <c r="F11"/>
  <c r="E11"/>
  <c r="D11"/>
  <c r="M11"/>
  <c r="L15" i="2"/>
  <c r="L21" s="1"/>
  <c r="K15"/>
  <c r="K21" s="1"/>
  <c r="J15"/>
  <c r="J21" s="1"/>
  <c r="I15"/>
  <c r="I21" s="1"/>
  <c r="O19" i="1"/>
  <c r="M19"/>
  <c r="L19"/>
  <c r="K19"/>
  <c r="J19"/>
  <c r="I19"/>
  <c r="H19"/>
  <c r="G19"/>
  <c r="E19"/>
  <c r="D19"/>
  <c r="F19"/>
  <c r="N19"/>
  <c r="N15"/>
  <c r="M15"/>
  <c r="L15"/>
  <c r="K15"/>
  <c r="P16"/>
  <c r="E11" i="6" l="1"/>
  <c r="M11"/>
  <c r="E6"/>
  <c r="J6"/>
  <c r="N6"/>
  <c r="D6"/>
  <c r="D18"/>
  <c r="D44" s="1"/>
  <c r="H6"/>
  <c r="I11"/>
  <c r="G6"/>
  <c r="I6"/>
  <c r="F6"/>
  <c r="K6"/>
  <c r="F6" i="4"/>
  <c r="L11"/>
  <c r="E6"/>
  <c r="D11"/>
  <c r="G11"/>
  <c r="D6"/>
  <c r="H6"/>
  <c r="G6"/>
  <c r="I6"/>
  <c r="K11" i="5"/>
  <c r="D11"/>
  <c r="D18"/>
  <c r="D41" s="1"/>
  <c r="M18"/>
  <c r="M41" s="1"/>
  <c r="G11"/>
  <c r="G18"/>
  <c r="G41" s="1"/>
  <c r="O11"/>
  <c r="O18"/>
  <c r="O41" s="1"/>
  <c r="N18"/>
  <c r="N41" s="1"/>
  <c r="I14" i="2"/>
  <c r="I26" s="1"/>
  <c r="I51" s="1"/>
  <c r="H13"/>
  <c r="P19" i="1"/>
  <c r="K6" i="4"/>
  <c r="O6"/>
  <c r="M6" i="6"/>
  <c r="D9"/>
  <c r="L13" i="2"/>
  <c r="N13"/>
  <c r="G13"/>
  <c r="L6" i="4"/>
  <c r="D13" i="2"/>
  <c r="M6" i="4"/>
  <c r="P10" i="3"/>
  <c r="E13" i="2"/>
  <c r="M13"/>
  <c r="N6" i="4"/>
  <c r="L6" i="6"/>
  <c r="F9"/>
  <c r="J6" i="4"/>
  <c r="O14" i="2"/>
  <c r="O26" s="1"/>
  <c r="O51" s="1"/>
  <c r="H14" i="1"/>
  <c r="N11" i="5"/>
  <c r="F14" i="2"/>
  <c r="F26" s="1"/>
  <c r="F51" s="1"/>
  <c r="J14"/>
  <c r="J26" s="1"/>
  <c r="J51" s="1"/>
  <c r="N14"/>
  <c r="N26" s="1"/>
  <c r="N51" s="1"/>
  <c r="M14" i="1"/>
  <c r="I14"/>
  <c r="E14"/>
  <c r="N11" i="6"/>
  <c r="J11"/>
  <c r="F11"/>
  <c r="L9"/>
  <c r="G14" i="2"/>
  <c r="G26" s="1"/>
  <c r="G51" s="1"/>
  <c r="L14" i="1"/>
  <c r="J11" i="5"/>
  <c r="H14" i="2"/>
  <c r="H26" s="1"/>
  <c r="H51" s="1"/>
  <c r="L14"/>
  <c r="L26" s="1"/>
  <c r="L51" s="1"/>
  <c r="K14" i="1"/>
  <c r="G14"/>
  <c r="N11" i="4"/>
  <c r="J11"/>
  <c r="F11"/>
  <c r="M11" i="5"/>
  <c r="I11"/>
  <c r="E11"/>
  <c r="D11" i="6"/>
  <c r="L11"/>
  <c r="H11"/>
  <c r="O6"/>
  <c r="K14" i="2"/>
  <c r="K26" s="1"/>
  <c r="K51" s="1"/>
  <c r="F11" i="5"/>
  <c r="E14" i="2"/>
  <c r="E26" s="1"/>
  <c r="E51" s="1"/>
  <c r="M14"/>
  <c r="M26" s="1"/>
  <c r="M51" s="1"/>
  <c r="N14" i="1"/>
  <c r="J14"/>
  <c r="F14"/>
  <c r="O11" i="3"/>
  <c r="K11"/>
  <c r="G11"/>
  <c r="E11" i="4"/>
  <c r="L11" i="5"/>
  <c r="H11"/>
  <c r="O11" i="6"/>
  <c r="K11"/>
  <c r="G11"/>
  <c r="D16" i="2"/>
  <c r="N16"/>
  <c r="L16"/>
  <c r="J16"/>
  <c r="H16"/>
  <c r="F16"/>
  <c r="O16"/>
  <c r="M16"/>
  <c r="K16"/>
  <c r="I16"/>
  <c r="E16"/>
  <c r="P15" i="1"/>
  <c r="N26" l="1"/>
  <c r="M26"/>
  <c r="L26"/>
  <c r="L49" s="1"/>
  <c r="P13" i="2"/>
  <c r="P6" i="4"/>
  <c r="P9" i="6"/>
  <c r="P11" i="4"/>
  <c r="P11" i="5"/>
  <c r="P11" i="3"/>
  <c r="P16" i="2"/>
  <c r="P11" i="6"/>
  <c r="P42"/>
  <c r="P40"/>
  <c r="P39"/>
  <c r="P38"/>
  <c r="P37"/>
  <c r="P36"/>
  <c r="P35"/>
  <c r="P34"/>
  <c r="P33"/>
  <c r="O32"/>
  <c r="N32"/>
  <c r="M32"/>
  <c r="L32"/>
  <c r="K32"/>
  <c r="J32"/>
  <c r="I32"/>
  <c r="H32"/>
  <c r="G32"/>
  <c r="F32"/>
  <c r="E32"/>
  <c r="D32"/>
  <c r="P30"/>
  <c r="P29"/>
  <c r="P28"/>
  <c r="P27"/>
  <c r="P26"/>
  <c r="P25"/>
  <c r="P24"/>
  <c r="P23"/>
  <c r="P22"/>
  <c r="O18"/>
  <c r="O44" s="1"/>
  <c r="N18"/>
  <c r="N44" s="1"/>
  <c r="M18"/>
  <c r="M44" s="1"/>
  <c r="K18"/>
  <c r="K44" s="1"/>
  <c r="J18"/>
  <c r="J44" s="1"/>
  <c r="I18"/>
  <c r="I44" s="1"/>
  <c r="G18"/>
  <c r="G44" s="1"/>
  <c r="F18"/>
  <c r="F44" s="1"/>
  <c r="E18"/>
  <c r="E44" s="1"/>
  <c r="P17"/>
  <c r="P16"/>
  <c r="P15"/>
  <c r="P13"/>
  <c r="P12"/>
  <c r="P10"/>
  <c r="P8"/>
  <c r="P5"/>
  <c r="P39" i="5"/>
  <c r="P38"/>
  <c r="P37"/>
  <c r="P36"/>
  <c r="P35"/>
  <c r="P34"/>
  <c r="P33"/>
  <c r="P32"/>
  <c r="P31"/>
  <c r="O30"/>
  <c r="N30"/>
  <c r="M30"/>
  <c r="L30"/>
  <c r="K30"/>
  <c r="J30"/>
  <c r="I30"/>
  <c r="H30"/>
  <c r="G30"/>
  <c r="F30"/>
  <c r="E30"/>
  <c r="D30"/>
  <c r="P29"/>
  <c r="P28"/>
  <c r="P27"/>
  <c r="P26"/>
  <c r="P25"/>
  <c r="P24"/>
  <c r="P23"/>
  <c r="P22"/>
  <c r="P21"/>
  <c r="P17"/>
  <c r="P16"/>
  <c r="P15"/>
  <c r="P14"/>
  <c r="P13"/>
  <c r="P10"/>
  <c r="P8"/>
  <c r="P5"/>
  <c r="P41" i="4"/>
  <c r="P40"/>
  <c r="P39"/>
  <c r="P38"/>
  <c r="P37"/>
  <c r="P36"/>
  <c r="P35"/>
  <c r="P34"/>
  <c r="P33"/>
  <c r="P32"/>
  <c r="O31"/>
  <c r="N31"/>
  <c r="M31"/>
  <c r="L31"/>
  <c r="K31"/>
  <c r="J31"/>
  <c r="I31"/>
  <c r="H31"/>
  <c r="G31"/>
  <c r="F31"/>
  <c r="E31"/>
  <c r="D31"/>
  <c r="P30"/>
  <c r="P29"/>
  <c r="P28"/>
  <c r="P27"/>
  <c r="P26"/>
  <c r="P25"/>
  <c r="P24"/>
  <c r="P23"/>
  <c r="P22"/>
  <c r="P21"/>
  <c r="P17"/>
  <c r="P16"/>
  <c r="P15"/>
  <c r="P13"/>
  <c r="P12"/>
  <c r="P10"/>
  <c r="P9"/>
  <c r="P8"/>
  <c r="O7"/>
  <c r="N7"/>
  <c r="M7"/>
  <c r="L7"/>
  <c r="K7"/>
  <c r="J7"/>
  <c r="I7"/>
  <c r="H7"/>
  <c r="G7"/>
  <c r="F7"/>
  <c r="E7"/>
  <c r="E18" s="1"/>
  <c r="E43" s="1"/>
  <c r="P5"/>
  <c r="P39" i="3"/>
  <c r="P38"/>
  <c r="P37"/>
  <c r="P36"/>
  <c r="P35"/>
  <c r="P34"/>
  <c r="P33"/>
  <c r="P32"/>
  <c r="P31"/>
  <c r="O30"/>
  <c r="N30"/>
  <c r="M30"/>
  <c r="L30"/>
  <c r="K30"/>
  <c r="J30"/>
  <c r="I30"/>
  <c r="G30"/>
  <c r="F30"/>
  <c r="E30"/>
  <c r="P29"/>
  <c r="P28"/>
  <c r="P27"/>
  <c r="P26"/>
  <c r="P25"/>
  <c r="P24"/>
  <c r="P23"/>
  <c r="P22"/>
  <c r="P21"/>
  <c r="P17"/>
  <c r="P16"/>
  <c r="P15"/>
  <c r="P13"/>
  <c r="P5"/>
  <c r="P49" i="2"/>
  <c r="P48"/>
  <c r="P47"/>
  <c r="P46"/>
  <c r="P45"/>
  <c r="P44"/>
  <c r="P43"/>
  <c r="P42"/>
  <c r="P41"/>
  <c r="P40"/>
  <c r="O39"/>
  <c r="N39"/>
  <c r="M39"/>
  <c r="L39"/>
  <c r="K39"/>
  <c r="J39"/>
  <c r="I39"/>
  <c r="H39"/>
  <c r="G39"/>
  <c r="F39"/>
  <c r="E39"/>
  <c r="D39"/>
  <c r="P38"/>
  <c r="P37"/>
  <c r="P36"/>
  <c r="P35"/>
  <c r="P34"/>
  <c r="P33"/>
  <c r="P32"/>
  <c r="P31"/>
  <c r="P24"/>
  <c r="P23"/>
  <c r="P21"/>
  <c r="P15"/>
  <c r="P14"/>
  <c r="P12"/>
  <c r="P9"/>
  <c r="P5"/>
  <c r="P25" i="1"/>
  <c r="P47"/>
  <c r="P46"/>
  <c r="P45"/>
  <c r="P44"/>
  <c r="P43"/>
  <c r="P42"/>
  <c r="P41"/>
  <c r="P40"/>
  <c r="P39"/>
  <c r="L38"/>
  <c r="K38"/>
  <c r="J38"/>
  <c r="H38"/>
  <c r="G38"/>
  <c r="F38"/>
  <c r="E38"/>
  <c r="P37"/>
  <c r="P36"/>
  <c r="P35"/>
  <c r="P34"/>
  <c r="P33"/>
  <c r="P32"/>
  <c r="P31"/>
  <c r="P30"/>
  <c r="P29"/>
  <c r="P23"/>
  <c r="P21"/>
  <c r="P18"/>
  <c r="P17"/>
  <c r="P14"/>
  <c r="P12"/>
  <c r="P9"/>
  <c r="P7"/>
  <c r="P5"/>
  <c r="P6" s="1"/>
  <c r="H11"/>
  <c r="H26" s="1"/>
  <c r="H49" s="1"/>
  <c r="G11"/>
  <c r="G26" s="1"/>
  <c r="G49" s="1"/>
  <c r="F11"/>
  <c r="F26" s="1"/>
  <c r="F49" s="1"/>
  <c r="E11"/>
  <c r="D52" i="2" l="1"/>
  <c r="D50"/>
  <c r="F52"/>
  <c r="F50"/>
  <c r="H52"/>
  <c r="H50"/>
  <c r="J52"/>
  <c r="J50"/>
  <c r="L52"/>
  <c r="L50"/>
  <c r="N52"/>
  <c r="N50"/>
  <c r="E44" i="4"/>
  <c r="E42"/>
  <c r="G42"/>
  <c r="I42"/>
  <c r="K42"/>
  <c r="M42"/>
  <c r="O42"/>
  <c r="D42" i="5"/>
  <c r="D40"/>
  <c r="F40"/>
  <c r="H40"/>
  <c r="J40"/>
  <c r="L40"/>
  <c r="N42"/>
  <c r="N40"/>
  <c r="E45" i="6"/>
  <c r="E43"/>
  <c r="G45"/>
  <c r="G43"/>
  <c r="I45"/>
  <c r="I43"/>
  <c r="K45"/>
  <c r="K43"/>
  <c r="M45"/>
  <c r="M43"/>
  <c r="O45"/>
  <c r="O43"/>
  <c r="E52" i="2"/>
  <c r="E50"/>
  <c r="G52"/>
  <c r="G50"/>
  <c r="I52"/>
  <c r="I50"/>
  <c r="K52"/>
  <c r="K50"/>
  <c r="M52"/>
  <c r="M50"/>
  <c r="O52"/>
  <c r="O50"/>
  <c r="D42" i="4"/>
  <c r="F42"/>
  <c r="H42"/>
  <c r="J42"/>
  <c r="L42"/>
  <c r="N42"/>
  <c r="E40" i="5"/>
  <c r="G42"/>
  <c r="G40"/>
  <c r="I40"/>
  <c r="K40"/>
  <c r="M42"/>
  <c r="M40"/>
  <c r="O42"/>
  <c r="O40"/>
  <c r="D45" i="6"/>
  <c r="D43"/>
  <c r="F45"/>
  <c r="F43"/>
  <c r="H43"/>
  <c r="J45"/>
  <c r="J43"/>
  <c r="L43"/>
  <c r="N45"/>
  <c r="N43"/>
  <c r="I40" i="3"/>
  <c r="I42"/>
  <c r="M42"/>
  <c r="M40"/>
  <c r="G42"/>
  <c r="G40"/>
  <c r="L42"/>
  <c r="L40"/>
  <c r="F42"/>
  <c r="F40"/>
  <c r="K42"/>
  <c r="K40"/>
  <c r="O42"/>
  <c r="O40"/>
  <c r="E42"/>
  <c r="E40"/>
  <c r="J42"/>
  <c r="J40"/>
  <c r="N42"/>
  <c r="N40"/>
  <c r="E48" i="1"/>
  <c r="J48"/>
  <c r="H48"/>
  <c r="H50"/>
  <c r="N49"/>
  <c r="N50"/>
  <c r="G48"/>
  <c r="G50"/>
  <c r="L48"/>
  <c r="L50"/>
  <c r="M49"/>
  <c r="M50"/>
  <c r="F50"/>
  <c r="F48"/>
  <c r="K48"/>
  <c r="P38"/>
  <c r="P31" i="6"/>
  <c r="M18" i="4"/>
  <c r="M43" s="1"/>
  <c r="I18"/>
  <c r="I43" s="1"/>
  <c r="H18" i="6"/>
  <c r="H44" s="1"/>
  <c r="L18"/>
  <c r="L44" s="1"/>
  <c r="H18" i="4"/>
  <c r="H43" s="1"/>
  <c r="G18"/>
  <c r="G43" s="1"/>
  <c r="K18"/>
  <c r="K43" s="1"/>
  <c r="O18"/>
  <c r="O43" s="1"/>
  <c r="F18"/>
  <c r="F43" s="1"/>
  <c r="J18"/>
  <c r="J43" s="1"/>
  <c r="N18"/>
  <c r="N43" s="1"/>
  <c r="L18"/>
  <c r="L43" s="1"/>
  <c r="P39" i="2"/>
  <c r="P30" i="5"/>
  <c r="P11" i="1"/>
  <c r="P32" i="6"/>
  <c r="P31" i="4"/>
  <c r="P7"/>
  <c r="P11" i="2"/>
  <c r="P7" i="6"/>
  <c r="P4" i="2"/>
  <c r="P6" s="1"/>
  <c r="P4" i="6"/>
  <c r="P6" s="1"/>
  <c r="P4" i="4"/>
  <c r="P30" i="3"/>
  <c r="P42" i="4" l="1"/>
  <c r="P43" i="6"/>
  <c r="P40" i="5"/>
  <c r="L45" i="6"/>
  <c r="H45"/>
  <c r="N44" i="4"/>
  <c r="L44"/>
  <c r="J44"/>
  <c r="H44"/>
  <c r="F44"/>
  <c r="O44"/>
  <c r="M44"/>
  <c r="K44"/>
  <c r="I44"/>
  <c r="G44"/>
  <c r="P50" i="2"/>
  <c r="P40" i="3"/>
  <c r="P48" i="1"/>
  <c r="P14" i="6"/>
  <c r="P18" s="1"/>
  <c r="P44" s="1"/>
  <c r="D18" i="4"/>
  <c r="P14"/>
  <c r="P13" i="1"/>
  <c r="P45" i="6" l="1"/>
  <c r="D43" i="4"/>
  <c r="D44"/>
  <c r="P18"/>
  <c r="P43" l="1"/>
  <c r="P44"/>
  <c r="P8" i="2"/>
  <c r="P10" l="1"/>
  <c r="E6" i="3"/>
  <c r="F6" l="1"/>
  <c r="G6"/>
  <c r="H6" l="1"/>
  <c r="I6" l="1"/>
  <c r="J6" l="1"/>
  <c r="K6" l="1"/>
  <c r="L6" l="1"/>
  <c r="M6" l="1"/>
  <c r="N6" l="1"/>
  <c r="O6" l="1"/>
  <c r="P6" s="1"/>
  <c r="E4" i="5" l="1"/>
  <c r="E18" s="1"/>
  <c r="E41" l="1"/>
  <c r="E42"/>
  <c r="F4"/>
  <c r="F18" l="1"/>
  <c r="G6"/>
  <c r="F41" l="1"/>
  <c r="F42"/>
  <c r="H6"/>
  <c r="I6" l="1"/>
  <c r="J6" l="1"/>
  <c r="K6" l="1"/>
  <c r="L6" l="1"/>
  <c r="M6" l="1"/>
  <c r="N6" l="1"/>
  <c r="P4" l="1"/>
  <c r="O6"/>
  <c r="P6" s="1"/>
  <c r="I8" i="1" l="1"/>
  <c r="I26" l="1"/>
  <c r="J8"/>
  <c r="J26" s="1"/>
  <c r="I49" l="1"/>
  <c r="I50"/>
  <c r="J49"/>
  <c r="J50"/>
  <c r="K8"/>
  <c r="K26" s="1"/>
  <c r="K49" l="1"/>
  <c r="K50"/>
  <c r="P8"/>
  <c r="P26" s="1"/>
  <c r="E10"/>
  <c r="P49" l="1"/>
  <c r="P50"/>
  <c r="P10"/>
  <c r="F10"/>
  <c r="G10" l="1"/>
  <c r="L10" l="1"/>
  <c r="N10" l="1"/>
  <c r="O10" l="1"/>
  <c r="I7" i="5" l="1"/>
  <c r="I18" s="1"/>
  <c r="I41" l="1"/>
  <c r="I42"/>
  <c r="H7"/>
  <c r="H18" s="1"/>
  <c r="H41" l="1"/>
  <c r="H42"/>
  <c r="K7"/>
  <c r="K18" l="1"/>
  <c r="J7"/>
  <c r="J18" s="1"/>
  <c r="J41" l="1"/>
  <c r="J42"/>
  <c r="K41"/>
  <c r="K42"/>
  <c r="L7"/>
  <c r="P7" l="1"/>
  <c r="L18"/>
  <c r="P30" i="2"/>
  <c r="L41" i="5" l="1"/>
  <c r="L42"/>
  <c r="P9"/>
  <c r="P18"/>
  <c r="P14" i="3"/>
  <c r="P18" s="1"/>
  <c r="P41" i="5" l="1"/>
  <c r="P42"/>
  <c r="P41" i="3"/>
  <c r="P42"/>
  <c r="P22" i="2"/>
  <c r="P26" s="1"/>
  <c r="E26" i="1"/>
  <c r="P51" i="2" l="1"/>
  <c r="P52"/>
  <c r="E49" i="1"/>
  <c r="E50"/>
  <c r="E9" i="3"/>
  <c r="M9" l="1"/>
  <c r="N9" l="1"/>
  <c r="O9" l="1"/>
</calcChain>
</file>

<file path=xl/sharedStrings.xml><?xml version="1.0" encoding="utf-8"?>
<sst xmlns="http://schemas.openxmlformats.org/spreadsheetml/2006/main" count="1281" uniqueCount="164">
  <si>
    <t>№ п/п</t>
  </si>
  <si>
    <t>Ед.изм.</t>
  </si>
  <si>
    <t>январь</t>
  </si>
  <si>
    <t xml:space="preserve">февраль 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</si>
  <si>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</si>
  <si>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</si>
  <si>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</si>
  <si>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</si>
  <si>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</si>
  <si>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</si>
  <si>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</si>
  <si>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</si>
  <si>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</si>
  <si>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</si>
  <si>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</si>
  <si>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Газ природный</t>
  </si>
  <si>
    <t>тыс. руб.</t>
  </si>
  <si>
    <t>объем топлива</t>
  </si>
  <si>
    <t>цена</t>
  </si>
  <si>
    <t>т (м3)</t>
  </si>
  <si>
    <t>руб./т(м3)</t>
  </si>
  <si>
    <t>Уголь</t>
  </si>
  <si>
    <t>Электрическая энергия</t>
  </si>
  <si>
    <t>Оплата труда</t>
  </si>
  <si>
    <t>Внебюджетные фонды</t>
  </si>
  <si>
    <t>Бюджетные фонды</t>
  </si>
  <si>
    <t>Транспортировка газа</t>
  </si>
  <si>
    <t>Заработная плата цехового персонала</t>
  </si>
  <si>
    <t>Среднемесячная оплата цехового персонала</t>
  </si>
  <si>
    <t>Численность цехового персонала</t>
  </si>
  <si>
    <t xml:space="preserve">руб. </t>
  </si>
  <si>
    <t>чел.</t>
  </si>
  <si>
    <t>Заработная плата АУП</t>
  </si>
  <si>
    <t>Среднемесячная оплата АУП</t>
  </si>
  <si>
    <t>Численность АУП</t>
  </si>
  <si>
    <t>Муниципальная гарантия</t>
  </si>
  <si>
    <t>1.1.</t>
  </si>
  <si>
    <t>1.2.</t>
  </si>
  <si>
    <t>3.1.</t>
  </si>
  <si>
    <t>3.2.</t>
  </si>
  <si>
    <t>4.1.</t>
  </si>
  <si>
    <t>4.2.</t>
  </si>
  <si>
    <t>5.1.</t>
  </si>
  <si>
    <t>5.2.</t>
  </si>
  <si>
    <t>5.3.</t>
  </si>
  <si>
    <t>5.4.</t>
  </si>
  <si>
    <t>5.5.</t>
  </si>
  <si>
    <t>5.6.</t>
  </si>
  <si>
    <t>Показатели расхода</t>
  </si>
  <si>
    <t xml:space="preserve">Показатели </t>
  </si>
  <si>
    <t>Показатели дохода</t>
  </si>
  <si>
    <t>Собрано денежных средств</t>
  </si>
  <si>
    <t>11.1.</t>
  </si>
  <si>
    <t>ФБ</t>
  </si>
  <si>
    <t>11.2.</t>
  </si>
  <si>
    <t xml:space="preserve">ОБ </t>
  </si>
  <si>
    <t>11.3.</t>
  </si>
  <si>
    <t>МБ</t>
  </si>
  <si>
    <t>11.4.</t>
  </si>
  <si>
    <t>ТСЖ "Край"</t>
  </si>
  <si>
    <t>11.5.</t>
  </si>
  <si>
    <t>ООО "Ремстрой"</t>
  </si>
  <si>
    <t>11.6.</t>
  </si>
  <si>
    <t>ООО "ЖилКомСервис"</t>
  </si>
  <si>
    <t>11.7.</t>
  </si>
  <si>
    <t>ООО "Жилищные услуги населению"</t>
  </si>
  <si>
    <t>11.8.</t>
  </si>
  <si>
    <t>Население</t>
  </si>
  <si>
    <t>Частный сектор</t>
  </si>
  <si>
    <t>11.10.</t>
  </si>
  <si>
    <t>Прочие контрагенты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</si>
  <si>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</si>
  <si>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</si>
  <si>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</si>
  <si>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</si>
  <si>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</si>
  <si>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</si>
  <si>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</si>
  <si>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</si>
  <si>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</si>
  <si>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</si>
  <si>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9.1.</t>
  </si>
  <si>
    <t>Материалы</t>
  </si>
  <si>
    <t>Прочие расходы, не вошедшие в вышеперечисленные статьи, всего, из них</t>
  </si>
  <si>
    <t xml:space="preserve">Аналитическая справка  о результатах деятельности МУП "Служба единого заказчика городского округа Дегтярск" за 2012 год (водоснабжение) </t>
  </si>
  <si>
    <t xml:space="preserve">Среднемесячная оплата </t>
  </si>
  <si>
    <t xml:space="preserve">Численность </t>
  </si>
  <si>
    <t>1.</t>
  </si>
  <si>
    <t>2.</t>
  </si>
  <si>
    <t>2.1.</t>
  </si>
  <si>
    <t>2.2.</t>
  </si>
  <si>
    <t>3.</t>
  </si>
  <si>
    <t>4.</t>
  </si>
  <si>
    <t>5.</t>
  </si>
  <si>
    <t>6.</t>
  </si>
  <si>
    <t>7.</t>
  </si>
  <si>
    <t>8.</t>
  </si>
  <si>
    <t>9.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</si>
  <si>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</si>
  <si>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</si>
  <si>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</si>
  <si>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</si>
  <si>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</si>
  <si>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</si>
  <si>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</si>
  <si>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</si>
  <si>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</si>
  <si>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10.</t>
  </si>
  <si>
    <t xml:space="preserve">Аналитическая справка  о результатах деятельности МУП "Служба единого заказчика городского округа Дегтярск" за 2013 год (водоснабжение) </t>
  </si>
  <si>
    <t xml:space="preserve">Аналитическая справка  о результатах деятельности МУП "Служба единого заказчика городского округа Дегтярск" за 2012 год (водоотведение) </t>
  </si>
  <si>
    <t xml:space="preserve">Аналитическая справка  о результатах деятельности МУП "Служба единого заказчика городского округа Дегтярск" за 2013 год (водоотведение) </t>
  </si>
  <si>
    <t>7.1.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</si>
  <si>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</si>
  <si>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</si>
  <si>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</si>
  <si>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</si>
  <si>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</si>
  <si>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</si>
  <si>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</si>
  <si>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</si>
  <si>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</si>
  <si>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</si>
  <si>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11.</t>
  </si>
  <si>
    <t>кВт</t>
  </si>
  <si>
    <t>711.44</t>
  </si>
  <si>
    <t>1100.23</t>
  </si>
  <si>
    <t>3174.68</t>
  </si>
  <si>
    <t xml:space="preserve">  </t>
  </si>
  <si>
    <t>налоги</t>
  </si>
  <si>
    <t>Материалы в том числе</t>
  </si>
  <si>
    <t>Аналитическая справка  о результатах деятельности МУП "Служба единого заказчика городского округа Дегтярск" за 2012 год (производство и передача тепловой энергии)</t>
  </si>
  <si>
    <t>Заработная плата цехового персонала с ИТР</t>
  </si>
  <si>
    <t xml:space="preserve">Аналитическая справка  о результатах деятельности МУП "Служба единого заказчика городского округа Дегтярск" за 2013 год (производство и передача тепловой энергии) </t>
  </si>
  <si>
    <t>Всего затраты (НДС не учитывается)</t>
  </si>
  <si>
    <t>Всего (НДС не учитывается)</t>
  </si>
  <si>
    <t>Собрано денежных средств (с НДС)</t>
  </si>
  <si>
    <t>Начислено за услугу без НДС</t>
  </si>
  <si>
    <t>Начислено за услугу всего</t>
  </si>
  <si>
    <t>Начислено за услугу (без НДС):</t>
  </si>
  <si>
    <t>Начислено за услугу (данные без НДС):</t>
  </si>
  <si>
    <t>Собрано денежных средств (без НДС)</t>
  </si>
  <si>
    <t xml:space="preserve">Аналитическая справка  о результатах деятельности МУП "Служба единого заказчика городского округа Дегтярск" за 2014 год (производство и передача тепловой энергии) </t>
  </si>
  <si>
    <t>Начислено за услугу (без НДС)= Реализация:</t>
  </si>
  <si>
    <t xml:space="preserve">Аналитическая справка  о результатах деятельности МУП "Служба единого заказчика городского округа Дегтярск" за 2014 год (водоснабжение) </t>
  </si>
  <si>
    <t xml:space="preserve">Аналитическая справка  о результатах деятельности МУП "Служба единого заказчика городского округа Дегтярск" за 2014 год (водоотведение) </t>
  </si>
  <si>
    <t>11.9.</t>
  </si>
  <si>
    <t>Начислено за услугу (без НДС)</t>
  </si>
  <si>
    <r>
      <t>Собрано денежных средств (без</t>
    </r>
    <r>
      <rPr>
        <sz val="14"/>
        <color theme="1"/>
        <rFont val="Times New Roman"/>
        <family val="1"/>
        <charset val="204"/>
      </rPr>
      <t xml:space="preserve"> НДС</t>
    </r>
    <r>
      <rPr>
        <sz val="12"/>
        <color theme="1"/>
        <rFont val="Times New Roman"/>
        <family val="1"/>
        <charset val="204"/>
      </rPr>
      <t>)</t>
    </r>
  </si>
  <si>
    <t xml:space="preserve">Аналитическая справка  о результатах деятельности МУП "Служба единого заказчика городского округа Дегтярск" за 2012 год - 1 кв. 2014 год </t>
  </si>
  <si>
    <t>2012 год</t>
  </si>
  <si>
    <t>2013 год</t>
  </si>
  <si>
    <t xml:space="preserve"> 1 квартал 2014 год</t>
  </si>
  <si>
    <t>Затраты</t>
  </si>
  <si>
    <t>Начислено</t>
  </si>
  <si>
    <t>Собрано</t>
  </si>
  <si>
    <t xml:space="preserve">Разница между Показателями доходов по начисленным и Показателями расходов  </t>
  </si>
  <si>
    <t>Разница между  Показателями доходов по собранным и Показателями расходов</t>
  </si>
  <si>
    <t>Разница между  собранными денежными средствами и начисленными</t>
  </si>
  <si>
    <t xml:space="preserve">Разница между собранными денежными средствами и начисленными  </t>
  </si>
  <si>
    <t>Разница между  начисленными денежными средствами и показателями затрат</t>
  </si>
  <si>
    <t xml:space="preserve">Разница между собранными денежными средствами и показателями затрат </t>
  </si>
  <si>
    <t>Процент сбора</t>
  </si>
  <si>
    <t>%</t>
  </si>
  <si>
    <t>Начислено за услугу всего (без НДС)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</si>
</sst>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_р_."/>
    <numFmt numFmtId="165" formatCode="#,##0.0"/>
    <numFmt numFmtId="166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wrapText="1"/>
    </xf>
    <xf numFmtId="165" fontId="1" fillId="3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43" fontId="1" fillId="0" borderId="1" xfId="1" applyFont="1" applyBorder="1" applyAlignment="1">
      <alignment horizontal="center" vertical="center" wrapText="1"/>
    </xf>
    <xf numFmtId="43" fontId="1" fillId="3" borderId="1" xfId="1" applyFont="1" applyFill="1" applyBorder="1" applyAlignment="1">
      <alignment horizontal="center" vertical="center" wrapText="1"/>
    </xf>
    <xf numFmtId="43" fontId="1" fillId="3" borderId="1" xfId="1" applyFont="1" applyFill="1" applyBorder="1" applyAlignment="1">
      <alignment horizontal="left" vertical="center" wrapText="1"/>
    </xf>
    <xf numFmtId="43" fontId="1" fillId="0" borderId="1" xfId="1" applyFont="1" applyBorder="1" applyAlignment="1">
      <alignment horizontal="left" vertical="center" wrapText="1"/>
    </xf>
    <xf numFmtId="43" fontId="1" fillId="2" borderId="1" xfId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43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3" fontId="1" fillId="3" borderId="0" xfId="0" applyNumberFormat="1" applyFont="1" applyFill="1" applyAlignment="1">
      <alignment horizontal="center" wrapText="1"/>
    </xf>
    <xf numFmtId="0" fontId="1" fillId="0" borderId="0" xfId="0" applyFont="1" applyAlignment="1">
      <alignment wrapText="1"/>
    </xf>
    <xf numFmtId="166" fontId="1" fillId="3" borderId="1" xfId="1" applyNumberFormat="1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166" fontId="6" fillId="0" borderId="1" xfId="1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left" vertical="center" wrapText="1"/>
    </xf>
    <xf numFmtId="43" fontId="9" fillId="0" borderId="1" xfId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3" fontId="9" fillId="3" borderId="1" xfId="1" applyFont="1" applyFill="1" applyBorder="1" applyAlignment="1">
      <alignment horizontal="center" vertical="center" wrapText="1"/>
    </xf>
    <xf numFmtId="43" fontId="6" fillId="0" borderId="1" xfId="1" applyFont="1" applyBorder="1" applyAlignment="1">
      <alignment horizontal="left" vertical="center" wrapText="1"/>
    </xf>
    <xf numFmtId="43" fontId="6" fillId="3" borderId="1" xfId="1" applyFont="1" applyFill="1" applyBorder="1" applyAlignment="1">
      <alignment horizontal="center" vertical="center" wrapText="1"/>
    </xf>
    <xf numFmtId="43" fontId="7" fillId="3" borderId="1" xfId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166" fontId="6" fillId="3" borderId="1" xfId="1" applyNumberFormat="1" applyFont="1" applyFill="1" applyBorder="1" applyAlignment="1">
      <alignment horizontal="center" vertical="center" wrapText="1"/>
    </xf>
    <xf numFmtId="43" fontId="6" fillId="3" borderId="1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3" fontId="4" fillId="0" borderId="0" xfId="1" applyFont="1" applyAlignment="1">
      <alignment horizontal="center" wrapText="1"/>
    </xf>
    <xf numFmtId="43" fontId="1" fillId="0" borderId="2" xfId="1" applyFont="1" applyBorder="1" applyAlignment="1">
      <alignment horizontal="left" vertical="center" wrapText="1"/>
    </xf>
    <xf numFmtId="43" fontId="1" fillId="0" borderId="3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3"/>
  <sheetViews>
    <sheetView topLeftCell="A24" zoomScale="60" zoomScaleNormal="60" workbookViewId="0">
      <selection activeCell="D39" sqref="D39"/>
    </sheetView>
  </sheetViews>
  <sheetFormatPr defaultRowHeight="15"/>
  <cols>
    <col min="1" max="1" width="7.7109375" style="1" customWidth="1"/>
    <col min="2" max="2" width="34.5703125" style="1" customWidth="1"/>
    <col min="3" max="3" width="12.140625" style="1" customWidth="1"/>
    <col min="4" max="5" width="13.5703125" style="1" customWidth="1"/>
    <col min="6" max="6" width="13.140625" style="1" customWidth="1"/>
    <col min="7" max="7" width="12.5703125" style="1" customWidth="1"/>
    <col min="8" max="8" width="14" style="1" customWidth="1"/>
    <col min="9" max="9" width="14.140625" style="1" customWidth="1"/>
    <col min="10" max="10" width="13.140625" style="1" customWidth="1"/>
    <col min="11" max="11" width="12.85546875" style="1" customWidth="1"/>
    <col min="12" max="12" width="14.140625" style="1" customWidth="1"/>
    <col min="13" max="13" width="14.7109375" style="1" customWidth="1"/>
    <col min="14" max="14" width="13.28515625" style="1" customWidth="1"/>
    <col min="15" max="15" width="16.28515625" style="1" customWidth="1"/>
    <col min="16" max="16" width="17.7109375" style="1" customWidth="1"/>
    <col min="17" max="17" width="13.85546875" style="1" customWidth="1"/>
    <col min="18" max="16384" width="9.140625" style="1"/>
  </cols>
  <sheetData>
    <row r="1" spans="1:17" ht="51" customHeight="1">
      <c r="A1" s="76" t="s">
        <v>130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7" ht="29.25" customHeight="1">
      <c r="A2" s="4" t="s">
        <v>0</v>
      </c>
      <c r="B2" s="4" t="s">
        <v>49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</row>
    <row r="3" spans="1:17" ht="18" customHeight="1">
      <c r="A3" s="77" t="s">
        <v>48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7" s="14" customFormat="1" ht="18.75" customHeight="1">
      <c r="A4" s="12">
        <v>1</v>
      </c>
      <c r="B4" s="43" t="s">
        <v>15</v>
      </c>
      <c r="C4" s="12" t="s">
        <v>16</v>
      </c>
      <c r="D4" s="13">
        <f>7653.47/1.18</f>
        <v>6485.9915254237294</v>
      </c>
      <c r="E4" s="13">
        <f>7083.88/1.18</f>
        <v>6003.2881355932204</v>
      </c>
      <c r="F4" s="13">
        <f>6062.65/1.18</f>
        <v>5137.8389830508477</v>
      </c>
      <c r="G4" s="13">
        <f>4311.45/1.18</f>
        <v>3653.7711864406779</v>
      </c>
      <c r="H4" s="13">
        <f>1138.52/1.18</f>
        <v>964.84745762711873</v>
      </c>
      <c r="I4" s="13">
        <f>0</f>
        <v>0</v>
      </c>
      <c r="J4" s="13">
        <v>0</v>
      </c>
      <c r="K4" s="13">
        <v>0</v>
      </c>
      <c r="L4" s="13">
        <v>0</v>
      </c>
      <c r="M4" s="13">
        <f>9474.39/1.18</f>
        <v>8029.1440677966102</v>
      </c>
      <c r="N4" s="13">
        <f>3914.79/1.18</f>
        <v>3317.6186440677966</v>
      </c>
      <c r="O4" s="13">
        <f>7216.27/1.18</f>
        <v>6115.4830508474579</v>
      </c>
      <c r="P4" s="13">
        <f>SUM(D4:O4)</f>
        <v>39707.983050847455</v>
      </c>
      <c r="Q4" s="15"/>
    </row>
    <row r="5" spans="1:17" s="14" customFormat="1" ht="19.5" customHeight="1">
      <c r="A5" s="12" t="s">
        <v>36</v>
      </c>
      <c r="B5" s="43" t="s">
        <v>17</v>
      </c>
      <c r="C5" s="12" t="s">
        <v>19</v>
      </c>
      <c r="D5" s="13">
        <v>2426.67</v>
      </c>
      <c r="E5" s="13">
        <v>2246.0639999999999</v>
      </c>
      <c r="F5" s="13">
        <v>1920.076</v>
      </c>
      <c r="G5" s="13">
        <v>1367.8510000000001</v>
      </c>
      <c r="H5" s="13">
        <v>361.49200000000002</v>
      </c>
      <c r="I5" s="13">
        <v>0</v>
      </c>
      <c r="J5" s="13">
        <v>0</v>
      </c>
      <c r="K5" s="13">
        <v>0</v>
      </c>
      <c r="L5" s="13">
        <v>0</v>
      </c>
      <c r="M5" s="13">
        <v>2608.6460000000002</v>
      </c>
      <c r="N5" s="13">
        <v>1079.2180000000001</v>
      </c>
      <c r="O5" s="13">
        <v>1994.951</v>
      </c>
      <c r="P5" s="13">
        <f t="shared" ref="P5:P24" si="0">SUM(D5:O5)</f>
        <v>14004.968000000001</v>
      </c>
    </row>
    <row r="6" spans="1:17" s="14" customFormat="1" ht="19.5" customHeight="1">
      <c r="A6" s="12" t="s">
        <v>37</v>
      </c>
      <c r="B6" s="43" t="s">
        <v>18</v>
      </c>
      <c r="C6" s="12" t="s">
        <v>20</v>
      </c>
      <c r="D6" s="13">
        <f>D4/D5*1000</f>
        <v>2672.7950341100063</v>
      </c>
      <c r="E6" s="13">
        <f t="shared" ref="E6:P6" si="1">E4/E5*1000</f>
        <v>2672.8036848430061</v>
      </c>
      <c r="F6" s="13">
        <f t="shared" si="1"/>
        <v>2675.8518845352205</v>
      </c>
      <c r="G6" s="13">
        <f t="shared" si="1"/>
        <v>2671.1763097301373</v>
      </c>
      <c r="H6" s="13">
        <f t="shared" si="1"/>
        <v>2669.0700143491936</v>
      </c>
      <c r="I6" s="13">
        <v>0</v>
      </c>
      <c r="J6" s="13">
        <v>0</v>
      </c>
      <c r="K6" s="13">
        <v>0</v>
      </c>
      <c r="L6" s="13">
        <v>0</v>
      </c>
      <c r="M6" s="13">
        <f t="shared" si="1"/>
        <v>3077.8971419643021</v>
      </c>
      <c r="N6" s="13">
        <f t="shared" si="1"/>
        <v>3074.0949873591771</v>
      </c>
      <c r="O6" s="13">
        <f t="shared" si="1"/>
        <v>3065.4803305181217</v>
      </c>
      <c r="P6" s="13">
        <f t="shared" si="1"/>
        <v>2835.2783848451104</v>
      </c>
    </row>
    <row r="7" spans="1:17" s="14" customFormat="1" ht="21.75" customHeight="1">
      <c r="A7" s="12">
        <v>2</v>
      </c>
      <c r="B7" s="43" t="s">
        <v>26</v>
      </c>
      <c r="C7" s="12" t="s">
        <v>16</v>
      </c>
      <c r="D7" s="13">
        <f>691.46/1.18</f>
        <v>585.98305084745766</v>
      </c>
      <c r="E7" s="13">
        <f>640.31/1.18</f>
        <v>542.63559322033893</v>
      </c>
      <c r="F7" s="13">
        <f>550.54/1.18</f>
        <v>466.5593220338983</v>
      </c>
      <c r="G7" s="13">
        <f>390.12/1.18</f>
        <v>330.61016949152543</v>
      </c>
      <c r="H7" s="13">
        <f>104.13/1.18</f>
        <v>88.245762711864401</v>
      </c>
      <c r="I7" s="13">
        <v>0</v>
      </c>
      <c r="J7" s="13">
        <v>0</v>
      </c>
      <c r="K7" s="13">
        <v>0</v>
      </c>
      <c r="L7" s="13">
        <v>0</v>
      </c>
      <c r="M7" s="13">
        <f>736.77/1.18</f>
        <v>624.38135593220341</v>
      </c>
      <c r="N7" s="13">
        <f>315.63/1.18</f>
        <v>267.48305084745766</v>
      </c>
      <c r="O7" s="13">
        <f>574.61/1.18</f>
        <v>486.9576271186441</v>
      </c>
      <c r="P7" s="13">
        <f t="shared" si="0"/>
        <v>3392.8559322033907</v>
      </c>
      <c r="Q7" s="15"/>
    </row>
    <row r="8" spans="1:17" ht="21" customHeight="1">
      <c r="A8" s="4">
        <v>3</v>
      </c>
      <c r="B8" s="44" t="s">
        <v>21</v>
      </c>
      <c r="C8" s="4" t="s">
        <v>16</v>
      </c>
      <c r="D8" s="13">
        <f>57.82/1.18</f>
        <v>49</v>
      </c>
      <c r="E8" s="13">
        <f>157.33/1.18</f>
        <v>133.33050847457628</v>
      </c>
      <c r="F8" s="13">
        <f>156.06/1.18</f>
        <v>132.25423728813561</v>
      </c>
      <c r="G8" s="13">
        <f>160.65/1.18</f>
        <v>136.14406779661019</v>
      </c>
      <c r="H8" s="13">
        <v>0</v>
      </c>
      <c r="I8" s="13">
        <f t="shared" ref="I8:K8" si="2">I9+I10</f>
        <v>0</v>
      </c>
      <c r="J8" s="13">
        <f t="shared" si="2"/>
        <v>0</v>
      </c>
      <c r="K8" s="13">
        <f t="shared" si="2"/>
        <v>0</v>
      </c>
      <c r="L8" s="13">
        <f>55.85/1.18</f>
        <v>47.330508474576277</v>
      </c>
      <c r="M8" s="13">
        <f>177.94/1.18</f>
        <v>150.79661016949154</v>
      </c>
      <c r="N8" s="13">
        <f>177.94/1.18</f>
        <v>150.79661016949154</v>
      </c>
      <c r="O8" s="13">
        <f>245.21/1.18</f>
        <v>207.80508474576274</v>
      </c>
      <c r="P8" s="13">
        <f>SUM(D8:O8)</f>
        <v>1007.4576271186443</v>
      </c>
      <c r="Q8" s="15"/>
    </row>
    <row r="9" spans="1:17" ht="15.75">
      <c r="A9" s="4" t="s">
        <v>38</v>
      </c>
      <c r="B9" s="43" t="s">
        <v>17</v>
      </c>
      <c r="C9" s="4" t="s">
        <v>19</v>
      </c>
      <c r="D9" s="13">
        <v>22.4</v>
      </c>
      <c r="E9" s="13">
        <v>61.7</v>
      </c>
      <c r="F9" s="13">
        <v>61.2</v>
      </c>
      <c r="G9" s="13">
        <v>63</v>
      </c>
      <c r="H9" s="13">
        <v>0</v>
      </c>
      <c r="I9" s="13">
        <v>0</v>
      </c>
      <c r="J9" s="13">
        <v>0</v>
      </c>
      <c r="K9" s="13">
        <v>0</v>
      </c>
      <c r="L9" s="13">
        <v>21.9</v>
      </c>
      <c r="M9" s="13">
        <v>57.4</v>
      </c>
      <c r="N9" s="13">
        <v>57.4</v>
      </c>
      <c r="O9" s="13">
        <v>79.099999999999994</v>
      </c>
      <c r="P9" s="13">
        <f t="shared" si="0"/>
        <v>424.1</v>
      </c>
    </row>
    <row r="10" spans="1:17" s="14" customFormat="1" ht="16.5" customHeight="1">
      <c r="A10" s="12" t="s">
        <v>39</v>
      </c>
      <c r="B10" s="43" t="s">
        <v>18</v>
      </c>
      <c r="C10" s="12" t="s">
        <v>20</v>
      </c>
      <c r="D10" s="13">
        <f>D8/D9*1000</f>
        <v>2187.5</v>
      </c>
      <c r="E10" s="13">
        <f t="shared" ref="E10:O10" si="3">E8/E9*1000</f>
        <v>2160.9482734939429</v>
      </c>
      <c r="F10" s="13">
        <f t="shared" si="3"/>
        <v>2161.0169491525426</v>
      </c>
      <c r="G10" s="13">
        <f t="shared" si="3"/>
        <v>2161.016949152543</v>
      </c>
      <c r="H10" s="13">
        <v>0</v>
      </c>
      <c r="I10" s="13">
        <v>0</v>
      </c>
      <c r="J10" s="13">
        <v>0</v>
      </c>
      <c r="K10" s="13">
        <v>0</v>
      </c>
      <c r="L10" s="13">
        <f t="shared" si="3"/>
        <v>2161.2104326290541</v>
      </c>
      <c r="M10" s="13">
        <f t="shared" ref="M10" si="4">M8/M9*1000</f>
        <v>2627.118644067797</v>
      </c>
      <c r="N10" s="13">
        <f t="shared" si="3"/>
        <v>2627.118644067797</v>
      </c>
      <c r="O10" s="13">
        <f t="shared" si="3"/>
        <v>2627.118644067797</v>
      </c>
      <c r="P10" s="13">
        <f>P8/P9*1000</f>
        <v>2375.5190453163032</v>
      </c>
    </row>
    <row r="11" spans="1:17" s="14" customFormat="1" ht="19.5" customHeight="1">
      <c r="A11" s="12">
        <v>4</v>
      </c>
      <c r="B11" s="43" t="s">
        <v>22</v>
      </c>
      <c r="C11" s="12" t="s">
        <v>16</v>
      </c>
      <c r="D11" s="13">
        <v>0</v>
      </c>
      <c r="E11" s="13">
        <f>E12+E13</f>
        <v>0</v>
      </c>
      <c r="F11" s="13">
        <f>F12+F13</f>
        <v>0</v>
      </c>
      <c r="G11" s="13">
        <f>G12+G13</f>
        <v>0</v>
      </c>
      <c r="H11" s="13">
        <f>H12+H13</f>
        <v>0</v>
      </c>
      <c r="I11" s="13">
        <f>212.9/1.18</f>
        <v>180.42372881355934</v>
      </c>
      <c r="J11" s="13">
        <v>207.15</v>
      </c>
      <c r="K11" s="13">
        <v>270.63</v>
      </c>
      <c r="L11" s="13">
        <f>238.7/1.18</f>
        <v>202.28813559322035</v>
      </c>
      <c r="M11" s="13">
        <f>1962.7/1.18</f>
        <v>1663.3050847457628</v>
      </c>
      <c r="N11" s="13">
        <f>2505.4/1.18</f>
        <v>2123.2203389830511</v>
      </c>
      <c r="O11" s="13">
        <f>2308.9/1.18</f>
        <v>1956.6949152542375</v>
      </c>
      <c r="P11" s="13">
        <f t="shared" si="0"/>
        <v>6603.7122033898313</v>
      </c>
      <c r="Q11" s="15"/>
    </row>
    <row r="12" spans="1:17" ht="15.75">
      <c r="A12" s="4" t="s">
        <v>40</v>
      </c>
      <c r="B12" s="43" t="s">
        <v>17</v>
      </c>
      <c r="C12" s="4" t="s">
        <v>123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47855</v>
      </c>
      <c r="J12" s="6">
        <v>67020</v>
      </c>
      <c r="K12" s="6">
        <v>81672</v>
      </c>
      <c r="L12" s="6">
        <v>47707</v>
      </c>
      <c r="M12" s="6">
        <v>461957</v>
      </c>
      <c r="N12" s="6">
        <v>597121</v>
      </c>
      <c r="O12" s="6">
        <v>551507</v>
      </c>
      <c r="P12" s="13">
        <f t="shared" si="0"/>
        <v>1854839</v>
      </c>
    </row>
    <row r="13" spans="1:17" ht="16.5" customHeight="1">
      <c r="A13" s="4" t="s">
        <v>41</v>
      </c>
      <c r="B13" s="43" t="s">
        <v>18</v>
      </c>
      <c r="C13" s="4" t="s">
        <v>20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f>I11/I12*1000</f>
        <v>3.7702168804421552</v>
      </c>
      <c r="J13" s="6">
        <f t="shared" ref="J13:P13" si="5">J11/J12*1000</f>
        <v>3.0908683974932858</v>
      </c>
      <c r="K13" s="6">
        <f t="shared" si="5"/>
        <v>3.3136203349985309</v>
      </c>
      <c r="L13" s="6">
        <f t="shared" si="5"/>
        <v>4.2402191626641867</v>
      </c>
      <c r="M13" s="6">
        <f t="shared" si="5"/>
        <v>3.6005625734554574</v>
      </c>
      <c r="N13" s="6">
        <f t="shared" si="5"/>
        <v>3.5557622977303613</v>
      </c>
      <c r="O13" s="6">
        <f t="shared" si="5"/>
        <v>3.5479058565969921</v>
      </c>
      <c r="P13" s="13">
        <f t="shared" si="5"/>
        <v>3.5602616741344297</v>
      </c>
    </row>
    <row r="14" spans="1:17" ht="19.5" customHeight="1">
      <c r="A14" s="4">
        <v>5</v>
      </c>
      <c r="B14" s="43" t="s">
        <v>23</v>
      </c>
      <c r="C14" s="4" t="s">
        <v>16</v>
      </c>
      <c r="D14" s="6">
        <f t="shared" ref="D14:N14" si="6">D15+D18</f>
        <v>1479.6</v>
      </c>
      <c r="E14" s="6">
        <f t="shared" si="6"/>
        <v>1210.5700000000002</v>
      </c>
      <c r="F14" s="6">
        <f t="shared" si="6"/>
        <v>1304.6699999999998</v>
      </c>
      <c r="G14" s="6">
        <f t="shared" si="6"/>
        <v>1401.97</v>
      </c>
      <c r="H14" s="6">
        <f t="shared" si="6"/>
        <v>1314.93</v>
      </c>
      <c r="I14" s="6">
        <f t="shared" si="6"/>
        <v>1483.77</v>
      </c>
      <c r="J14" s="6">
        <f t="shared" si="6"/>
        <v>1198.83</v>
      </c>
      <c r="K14" s="6">
        <f t="shared" si="6"/>
        <v>1078.3094900000001</v>
      </c>
      <c r="L14" s="6">
        <f t="shared" si="6"/>
        <v>923.30632999999989</v>
      </c>
      <c r="M14" s="6">
        <f t="shared" si="6"/>
        <v>1347.9389099999999</v>
      </c>
      <c r="N14" s="6">
        <f t="shared" si="6"/>
        <v>1261.3992499999999</v>
      </c>
      <c r="O14" s="6">
        <f>O15+O18</f>
        <v>1422.2187899999999</v>
      </c>
      <c r="P14" s="13">
        <f t="shared" si="0"/>
        <v>15427.512770000001</v>
      </c>
    </row>
    <row r="15" spans="1:17" ht="17.25" customHeight="1">
      <c r="A15" s="4" t="s">
        <v>42</v>
      </c>
      <c r="B15" s="43" t="s">
        <v>27</v>
      </c>
      <c r="C15" s="4" t="s">
        <v>16</v>
      </c>
      <c r="D15" s="6">
        <v>1197.0999999999999</v>
      </c>
      <c r="E15" s="6">
        <v>1100.1300000000001</v>
      </c>
      <c r="F15" s="6">
        <v>1191.8699999999999</v>
      </c>
      <c r="G15" s="6">
        <v>1150.97</v>
      </c>
      <c r="H15" s="6">
        <v>1083.75</v>
      </c>
      <c r="I15" s="6">
        <v>1174.97</v>
      </c>
      <c r="J15" s="6">
        <v>970.33</v>
      </c>
      <c r="K15" s="6">
        <f>834409.49/1000</f>
        <v>834.40949000000001</v>
      </c>
      <c r="L15" s="6">
        <f>696906.33/1000</f>
        <v>696.90632999999991</v>
      </c>
      <c r="M15" s="6">
        <f>1074238.91/1000</f>
        <v>1074.2389099999998</v>
      </c>
      <c r="N15" s="6">
        <f>1054399.25/1000</f>
        <v>1054.3992499999999</v>
      </c>
      <c r="O15" s="6">
        <f>1136918.79/1000</f>
        <v>1136.9187899999999</v>
      </c>
      <c r="P15" s="6">
        <f t="shared" si="0"/>
        <v>12665.992770000001</v>
      </c>
    </row>
    <row r="16" spans="1:17" ht="36" customHeight="1">
      <c r="A16" s="4" t="s">
        <v>43</v>
      </c>
      <c r="B16" s="43" t="s">
        <v>28</v>
      </c>
      <c r="C16" s="4" t="s">
        <v>30</v>
      </c>
      <c r="D16" s="6">
        <v>16860.560000000001</v>
      </c>
      <c r="E16" s="6">
        <v>13949.16</v>
      </c>
      <c r="F16" s="6">
        <v>15241.2</v>
      </c>
      <c r="G16" s="6">
        <v>14461.54</v>
      </c>
      <c r="H16" s="6">
        <v>13718.49</v>
      </c>
      <c r="I16" s="6">
        <v>15438.17</v>
      </c>
      <c r="J16" s="6">
        <v>12472.36</v>
      </c>
      <c r="K16" s="6">
        <v>12092.89</v>
      </c>
      <c r="L16" s="6">
        <v>10100.09</v>
      </c>
      <c r="M16" s="6">
        <v>15346.27</v>
      </c>
      <c r="N16" s="6">
        <v>14850.69</v>
      </c>
      <c r="O16" s="6">
        <v>16012.94</v>
      </c>
      <c r="P16" s="6">
        <f>SUM(D16:O16)/12</f>
        <v>14212.029999999999</v>
      </c>
    </row>
    <row r="17" spans="1:16" ht="16.5" customHeight="1">
      <c r="A17" s="4" t="s">
        <v>44</v>
      </c>
      <c r="B17" s="43" t="s">
        <v>29</v>
      </c>
      <c r="C17" s="4" t="s">
        <v>31</v>
      </c>
      <c r="D17" s="6">
        <v>71</v>
      </c>
      <c r="E17" s="6">
        <v>71</v>
      </c>
      <c r="F17" s="6">
        <v>71</v>
      </c>
      <c r="G17" s="6">
        <v>72</v>
      </c>
      <c r="H17" s="6">
        <v>71</v>
      </c>
      <c r="I17" s="6">
        <v>69</v>
      </c>
      <c r="J17" s="6">
        <v>69</v>
      </c>
      <c r="K17" s="6">
        <v>69</v>
      </c>
      <c r="L17" s="6">
        <v>69</v>
      </c>
      <c r="M17" s="6">
        <v>70</v>
      </c>
      <c r="N17" s="6">
        <v>71</v>
      </c>
      <c r="O17" s="6">
        <v>71</v>
      </c>
      <c r="P17" s="6">
        <f t="shared" si="0"/>
        <v>844</v>
      </c>
    </row>
    <row r="18" spans="1:16" ht="15.75">
      <c r="A18" s="4" t="s">
        <v>45</v>
      </c>
      <c r="B18" s="43" t="s">
        <v>32</v>
      </c>
      <c r="C18" s="4" t="s">
        <v>16</v>
      </c>
      <c r="D18" s="6">
        <v>282.5</v>
      </c>
      <c r="E18" s="6">
        <v>110.44</v>
      </c>
      <c r="F18" s="6">
        <v>112.8</v>
      </c>
      <c r="G18" s="6">
        <v>251</v>
      </c>
      <c r="H18" s="6">
        <v>231.18</v>
      </c>
      <c r="I18" s="6">
        <v>308.8</v>
      </c>
      <c r="J18" s="6">
        <v>228.5</v>
      </c>
      <c r="K18" s="6">
        <v>243.9</v>
      </c>
      <c r="L18" s="6">
        <v>226.4</v>
      </c>
      <c r="M18" s="6">
        <v>273.7</v>
      </c>
      <c r="N18" s="6">
        <v>207</v>
      </c>
      <c r="O18" s="6">
        <v>285.3</v>
      </c>
      <c r="P18" s="6">
        <f t="shared" si="0"/>
        <v>2761.5200000000004</v>
      </c>
    </row>
    <row r="19" spans="1:16" ht="18.75" customHeight="1">
      <c r="A19" s="4" t="s">
        <v>46</v>
      </c>
      <c r="B19" s="43" t="s">
        <v>33</v>
      </c>
      <c r="C19" s="4" t="s">
        <v>30</v>
      </c>
      <c r="D19" s="6">
        <f>D18/D20*1000</f>
        <v>16617.647058823528</v>
      </c>
      <c r="E19" s="6">
        <f t="shared" ref="E19:O19" si="7">E18/E20*1000</f>
        <v>12271.111111111111</v>
      </c>
      <c r="F19" s="6">
        <f t="shared" si="7"/>
        <v>12533.333333333334</v>
      </c>
      <c r="G19" s="6">
        <f t="shared" si="7"/>
        <v>27888.888888888891</v>
      </c>
      <c r="H19" s="6">
        <f t="shared" si="7"/>
        <v>25686.666666666668</v>
      </c>
      <c r="I19" s="6">
        <f t="shared" si="7"/>
        <v>34311.111111111109</v>
      </c>
      <c r="J19" s="6">
        <f t="shared" si="7"/>
        <v>22850</v>
      </c>
      <c r="K19" s="6">
        <f t="shared" si="7"/>
        <v>34842.857142857145</v>
      </c>
      <c r="L19" s="6">
        <f t="shared" si="7"/>
        <v>32342.857142857141</v>
      </c>
      <c r="M19" s="6">
        <f t="shared" si="7"/>
        <v>39100</v>
      </c>
      <c r="N19" s="6">
        <f t="shared" si="7"/>
        <v>29571.428571428572</v>
      </c>
      <c r="O19" s="6">
        <f t="shared" si="7"/>
        <v>40757.142857142862</v>
      </c>
      <c r="P19" s="6">
        <f>SUM(D19:O19)/12</f>
        <v>27397.753657018358</v>
      </c>
    </row>
    <row r="20" spans="1:16" ht="15.75">
      <c r="A20" s="4" t="s">
        <v>47</v>
      </c>
      <c r="B20" s="43" t="s">
        <v>34</v>
      </c>
      <c r="C20" s="4" t="s">
        <v>31</v>
      </c>
      <c r="D20" s="23">
        <v>17</v>
      </c>
      <c r="E20" s="6">
        <v>9</v>
      </c>
      <c r="F20" s="6">
        <v>9</v>
      </c>
      <c r="G20" s="6">
        <v>9</v>
      </c>
      <c r="H20" s="6">
        <v>9</v>
      </c>
      <c r="I20" s="6">
        <v>9</v>
      </c>
      <c r="J20" s="6">
        <v>10</v>
      </c>
      <c r="K20" s="6">
        <v>7</v>
      </c>
      <c r="L20" s="6">
        <v>7</v>
      </c>
      <c r="M20" s="6">
        <v>7</v>
      </c>
      <c r="N20" s="6">
        <v>7</v>
      </c>
      <c r="O20" s="6">
        <v>7</v>
      </c>
      <c r="P20" s="6">
        <f>SUM(D20:O20)/12</f>
        <v>8.9166666666666661</v>
      </c>
    </row>
    <row r="21" spans="1:16" ht="18" customHeight="1">
      <c r="A21" s="4">
        <v>6</v>
      </c>
      <c r="B21" s="43" t="s">
        <v>24</v>
      </c>
      <c r="C21" s="4" t="s">
        <v>16</v>
      </c>
      <c r="D21" s="6">
        <v>361</v>
      </c>
      <c r="E21" s="6">
        <v>316.60000000000002</v>
      </c>
      <c r="F21" s="6">
        <v>316.60000000000002</v>
      </c>
      <c r="G21" s="6">
        <v>316.60000000000002</v>
      </c>
      <c r="H21" s="6">
        <v>316.60000000000002</v>
      </c>
      <c r="I21" s="6">
        <v>316.60000000000002</v>
      </c>
      <c r="J21" s="6">
        <v>316.60000000000002</v>
      </c>
      <c r="K21" s="6">
        <v>316.60000000000002</v>
      </c>
      <c r="L21" s="6">
        <v>316.60000000000002</v>
      </c>
      <c r="M21" s="6">
        <v>316.60000000000002</v>
      </c>
      <c r="N21" s="6">
        <v>316.60000000000002</v>
      </c>
      <c r="O21" s="6">
        <v>317.60000000000002</v>
      </c>
      <c r="P21" s="13">
        <f t="shared" si="0"/>
        <v>3844.5999999999995</v>
      </c>
    </row>
    <row r="22" spans="1:16" ht="18" customHeight="1">
      <c r="A22" s="4">
        <v>7</v>
      </c>
      <c r="B22" s="43" t="s">
        <v>128</v>
      </c>
      <c r="C22" s="4" t="s">
        <v>16</v>
      </c>
      <c r="D22" s="6">
        <v>0</v>
      </c>
      <c r="E22" s="6">
        <v>0</v>
      </c>
      <c r="F22" s="6">
        <v>531</v>
      </c>
      <c r="G22" s="6">
        <v>177</v>
      </c>
      <c r="H22" s="6">
        <v>177</v>
      </c>
      <c r="I22" s="6">
        <v>177</v>
      </c>
      <c r="J22" s="6">
        <v>0</v>
      </c>
      <c r="K22" s="6">
        <v>0</v>
      </c>
      <c r="L22" s="6">
        <v>531</v>
      </c>
      <c r="M22" s="6">
        <v>0</v>
      </c>
      <c r="N22" s="6">
        <v>0</v>
      </c>
      <c r="O22" s="6">
        <v>531</v>
      </c>
      <c r="P22" s="13">
        <v>2123.1999999999998</v>
      </c>
    </row>
    <row r="23" spans="1:16" ht="18" customHeight="1">
      <c r="A23" s="4">
        <v>8</v>
      </c>
      <c r="B23" s="43" t="s">
        <v>35</v>
      </c>
      <c r="C23" s="4" t="s">
        <v>16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13">
        <f t="shared" si="0"/>
        <v>0</v>
      </c>
    </row>
    <row r="24" spans="1:16" ht="54.75" customHeight="1">
      <c r="A24" s="4">
        <v>9</v>
      </c>
      <c r="B24" s="43" t="s">
        <v>83</v>
      </c>
      <c r="C24" s="4" t="s">
        <v>16</v>
      </c>
      <c r="D24" s="6">
        <v>793</v>
      </c>
      <c r="E24" s="6">
        <v>922</v>
      </c>
      <c r="F24" s="6">
        <v>990</v>
      </c>
      <c r="G24" s="6">
        <v>844</v>
      </c>
      <c r="H24" s="6">
        <v>867</v>
      </c>
      <c r="I24" s="6">
        <v>1005</v>
      </c>
      <c r="J24" s="6">
        <v>861</v>
      </c>
      <c r="K24" s="6">
        <v>771</v>
      </c>
      <c r="L24" s="6">
        <v>922</v>
      </c>
      <c r="M24" s="6">
        <v>942</v>
      </c>
      <c r="N24" s="6">
        <v>709</v>
      </c>
      <c r="O24" s="6">
        <v>737</v>
      </c>
      <c r="P24" s="13">
        <f t="shared" si="0"/>
        <v>10363</v>
      </c>
    </row>
    <row r="25" spans="1:16" ht="15.75" customHeight="1">
      <c r="A25" s="4" t="s">
        <v>81</v>
      </c>
      <c r="B25" s="45" t="s">
        <v>82</v>
      </c>
      <c r="C25" s="4" t="s">
        <v>16</v>
      </c>
      <c r="D25" s="6">
        <v>48.1</v>
      </c>
      <c r="E25" s="6">
        <v>177.6</v>
      </c>
      <c r="F25" s="6">
        <v>152</v>
      </c>
      <c r="G25" s="6">
        <v>115</v>
      </c>
      <c r="H25" s="6">
        <v>67.72</v>
      </c>
      <c r="I25" s="6">
        <v>164</v>
      </c>
      <c r="J25" s="6">
        <v>61.27</v>
      </c>
      <c r="K25" s="6">
        <v>136.80000000000001</v>
      </c>
      <c r="L25" s="6">
        <v>97.6</v>
      </c>
      <c r="M25" s="6">
        <v>145.16999999999999</v>
      </c>
      <c r="N25" s="6">
        <v>80.8</v>
      </c>
      <c r="O25" s="6">
        <v>58.4</v>
      </c>
      <c r="P25" s="6">
        <f>SUM(D25:O25)</f>
        <v>1304.46</v>
      </c>
    </row>
    <row r="26" spans="1:16" ht="33" customHeight="1">
      <c r="A26" s="4">
        <v>10</v>
      </c>
      <c r="B26" s="45" t="s">
        <v>133</v>
      </c>
      <c r="C26" s="4" t="s">
        <v>16</v>
      </c>
      <c r="D26" s="10">
        <v>9821.6</v>
      </c>
      <c r="E26" s="10">
        <f t="shared" ref="E26:O26" si="8">E4+E7+E8+E11+E14+E21+E22+E23+E25+E24</f>
        <v>9306.0242372881366</v>
      </c>
      <c r="F26" s="10">
        <f t="shared" si="8"/>
        <v>9030.9225423728822</v>
      </c>
      <c r="G26" s="10">
        <f t="shared" si="8"/>
        <v>6975.0954237288142</v>
      </c>
      <c r="H26" s="10">
        <f t="shared" si="8"/>
        <v>3796.343220338983</v>
      </c>
      <c r="I26" s="10">
        <f t="shared" si="8"/>
        <v>3326.7937288135595</v>
      </c>
      <c r="J26" s="10">
        <f t="shared" si="8"/>
        <v>2644.85</v>
      </c>
      <c r="K26" s="10">
        <f t="shared" si="8"/>
        <v>2573.3394900000003</v>
      </c>
      <c r="L26" s="10">
        <f t="shared" si="8"/>
        <v>3040.1249740677963</v>
      </c>
      <c r="M26" s="10">
        <f t="shared" si="8"/>
        <v>13219.336028644069</v>
      </c>
      <c r="N26" s="10">
        <f t="shared" si="8"/>
        <v>8226.9178940677994</v>
      </c>
      <c r="O26" s="10">
        <f t="shared" si="8"/>
        <v>11833.159467966103</v>
      </c>
      <c r="P26" s="10">
        <f>P4+P7+P8+P11+P14+P21+P22+P23+P24</f>
        <v>82470.321583559329</v>
      </c>
    </row>
    <row r="27" spans="1:16" s="16" customFormat="1" ht="20.25" customHeight="1">
      <c r="A27" s="77" t="s">
        <v>50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</row>
    <row r="28" spans="1:16" s="27" customFormat="1" ht="33.75" customHeight="1">
      <c r="A28" s="26">
        <v>11</v>
      </c>
      <c r="B28" s="25" t="s">
        <v>163</v>
      </c>
      <c r="C28" s="26" t="s">
        <v>16</v>
      </c>
      <c r="D28" s="24">
        <f>SUM(D29:D37)</f>
        <v>11072.330508474577</v>
      </c>
      <c r="E28" s="24">
        <f t="shared" ref="E28:O28" si="9">SUM(E29:E37)</f>
        <v>11117.542372881357</v>
      </c>
      <c r="F28" s="24">
        <f t="shared" si="9"/>
        <v>9990.0508474576272</v>
      </c>
      <c r="G28" s="24">
        <f t="shared" si="9"/>
        <v>8546.1864406779659</v>
      </c>
      <c r="H28" s="24">
        <f t="shared" si="9"/>
        <v>2375.5593220338983</v>
      </c>
      <c r="I28" s="24">
        <f t="shared" si="9"/>
        <v>1.3728813559322035</v>
      </c>
      <c r="J28" s="24">
        <f t="shared" si="9"/>
        <v>117.45762711864407</v>
      </c>
      <c r="K28" s="24">
        <f t="shared" si="9"/>
        <v>0</v>
      </c>
      <c r="L28" s="24">
        <f t="shared" si="9"/>
        <v>14.008474576271189</v>
      </c>
      <c r="M28" s="24">
        <f t="shared" si="9"/>
        <v>8391.0677966101684</v>
      </c>
      <c r="N28" s="24">
        <f t="shared" si="9"/>
        <v>10389.906779661018</v>
      </c>
      <c r="O28" s="24">
        <f t="shared" si="9"/>
        <v>12831.805084745763</v>
      </c>
      <c r="P28" s="24">
        <f t="shared" ref="P28:P47" si="10">SUM(D28:O28)</f>
        <v>74847.288135593233</v>
      </c>
    </row>
    <row r="29" spans="1:16" ht="18" customHeight="1">
      <c r="A29" s="4" t="s">
        <v>52</v>
      </c>
      <c r="B29" s="5" t="s">
        <v>53</v>
      </c>
      <c r="C29" s="4" t="s">
        <v>16</v>
      </c>
      <c r="D29" s="6">
        <f>262.09/1.18</f>
        <v>222.11016949152543</v>
      </c>
      <c r="E29" s="6">
        <f>220.13/1.18</f>
        <v>186.55084745762713</v>
      </c>
      <c r="F29" s="6">
        <f>201.32/1.18</f>
        <v>170.61016949152543</v>
      </c>
      <c r="G29" s="6">
        <f>116.18/1.18</f>
        <v>98.457627118644083</v>
      </c>
      <c r="H29" s="6">
        <f>17.08/1.18</f>
        <v>14.474576271186439</v>
      </c>
      <c r="I29" s="6">
        <f>1.62/1.18</f>
        <v>1.3728813559322035</v>
      </c>
      <c r="J29" s="6">
        <v>0</v>
      </c>
      <c r="K29" s="6">
        <v>0</v>
      </c>
      <c r="L29" s="6">
        <v>0</v>
      </c>
      <c r="M29" s="6">
        <f>116.85/1.18</f>
        <v>99.025423728813564</v>
      </c>
      <c r="N29" s="6">
        <f>219.59/1.18</f>
        <v>186.09322033898306</v>
      </c>
      <c r="O29" s="6">
        <f>271.64/1.18</f>
        <v>230.20338983050848</v>
      </c>
      <c r="P29" s="6">
        <f t="shared" si="10"/>
        <v>1208.8983050847457</v>
      </c>
    </row>
    <row r="30" spans="1:16" ht="20.25" customHeight="1">
      <c r="A30" s="4" t="s">
        <v>54</v>
      </c>
      <c r="B30" s="5" t="s">
        <v>55</v>
      </c>
      <c r="C30" s="4" t="s">
        <v>16</v>
      </c>
      <c r="D30" s="6">
        <f>821.37/1.18</f>
        <v>696.07627118644075</v>
      </c>
      <c r="E30" s="6">
        <f>718.87/1.18</f>
        <v>609.21186440677968</v>
      </c>
      <c r="F30" s="6">
        <f>758.1/1.18</f>
        <v>642.45762711864415</v>
      </c>
      <c r="G30" s="6">
        <f>451.99/1.18</f>
        <v>383.04237288135596</v>
      </c>
      <c r="H30" s="6">
        <f>75.14/1.18</f>
        <v>63.677966101694921</v>
      </c>
      <c r="I30" s="6">
        <v>0</v>
      </c>
      <c r="J30" s="6">
        <v>0</v>
      </c>
      <c r="K30" s="6">
        <v>0</v>
      </c>
      <c r="L30" s="6">
        <v>0</v>
      </c>
      <c r="M30" s="6">
        <f>372.4/1.18</f>
        <v>315.59322033898303</v>
      </c>
      <c r="N30" s="6">
        <f>1226.33/1.18</f>
        <v>1039.2627118644068</v>
      </c>
      <c r="O30" s="6">
        <f>887.8/1.18</f>
        <v>752.37288135593224</v>
      </c>
      <c r="P30" s="6">
        <f t="shared" si="10"/>
        <v>4501.6949152542375</v>
      </c>
    </row>
    <row r="31" spans="1:16" ht="20.25" customHeight="1">
      <c r="A31" s="4" t="s">
        <v>56</v>
      </c>
      <c r="B31" s="5" t="s">
        <v>57</v>
      </c>
      <c r="C31" s="4" t="s">
        <v>16</v>
      </c>
      <c r="D31" s="6">
        <f>1618.39/1.18</f>
        <v>1371.5169491525426</v>
      </c>
      <c r="E31" s="6">
        <f>1377.64/1.18</f>
        <v>1167.4915254237289</v>
      </c>
      <c r="F31" s="6">
        <f>1130.92/1.18</f>
        <v>958.40677966101703</v>
      </c>
      <c r="G31" s="6">
        <f>664.1/1.18</f>
        <v>562.7966101694916</v>
      </c>
      <c r="H31" s="6">
        <f>56.1/1.18</f>
        <v>47.542372881355938</v>
      </c>
      <c r="I31" s="6">
        <v>0</v>
      </c>
      <c r="J31" s="6">
        <v>0</v>
      </c>
      <c r="K31" s="6">
        <v>0</v>
      </c>
      <c r="L31" s="6">
        <f>16.53/1.18</f>
        <v>14.008474576271189</v>
      </c>
      <c r="M31" s="6">
        <f>766.24/1.18</f>
        <v>649.3559322033899</v>
      </c>
      <c r="N31" s="6">
        <v>0</v>
      </c>
      <c r="O31" s="6">
        <f>1546.02/1.18</f>
        <v>1310.1864406779662</v>
      </c>
      <c r="P31" s="6">
        <f t="shared" si="10"/>
        <v>6081.3050847457635</v>
      </c>
    </row>
    <row r="32" spans="1:16" ht="20.25" customHeight="1">
      <c r="A32" s="4" t="s">
        <v>58</v>
      </c>
      <c r="B32" s="5" t="s">
        <v>59</v>
      </c>
      <c r="C32" s="4" t="s">
        <v>16</v>
      </c>
      <c r="D32" s="6">
        <f>1209.71/1.18</f>
        <v>1025.1779661016949</v>
      </c>
      <c r="E32" s="6">
        <f>1211.49/1.18</f>
        <v>1026.6864406779662</v>
      </c>
      <c r="F32" s="6">
        <f>1208.7/1.18</f>
        <v>1024.3220338983051</v>
      </c>
      <c r="G32" s="6">
        <f>1207.14/1.18</f>
        <v>1023.0000000000001</v>
      </c>
      <c r="H32" s="6">
        <f>228.59/1.18</f>
        <v>193.72033898305085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f t="shared" si="10"/>
        <v>4292.9067796610179</v>
      </c>
    </row>
    <row r="33" spans="1:16" ht="18.75" customHeight="1">
      <c r="A33" s="4" t="s">
        <v>60</v>
      </c>
      <c r="B33" s="5" t="s">
        <v>61</v>
      </c>
      <c r="C33" s="4" t="s">
        <v>16</v>
      </c>
      <c r="D33" s="6">
        <f>5133.47/1.18</f>
        <v>4350.3983050847464</v>
      </c>
      <c r="E33" s="6">
        <f>5215.67/1.18</f>
        <v>4420.0593220338988</v>
      </c>
      <c r="F33" s="6">
        <f>5057.09/1.18</f>
        <v>4285.6694915254238</v>
      </c>
      <c r="G33" s="6">
        <f>4891.79/1.18</f>
        <v>4145.5847457627124</v>
      </c>
      <c r="H33" s="6">
        <f>1632.76/1.18</f>
        <v>1383.6949152542375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f t="shared" si="10"/>
        <v>18585.406779661018</v>
      </c>
    </row>
    <row r="34" spans="1:16" ht="17.25" customHeight="1">
      <c r="A34" s="4" t="s">
        <v>62</v>
      </c>
      <c r="B34" s="5" t="s">
        <v>63</v>
      </c>
      <c r="C34" s="4" t="s">
        <v>16</v>
      </c>
      <c r="D34" s="6">
        <f>2712.09/1.18</f>
        <v>2298.3813559322039</v>
      </c>
      <c r="E34" s="6">
        <f>2914.59/1.18</f>
        <v>2469.9915254237289</v>
      </c>
      <c r="F34" s="6">
        <f>2434.88/1.18</f>
        <v>2063.4576271186443</v>
      </c>
      <c r="G34" s="6">
        <f>2202.24/1.18</f>
        <v>1866.3050847457625</v>
      </c>
      <c r="H34" s="6">
        <f>707.21/1.18</f>
        <v>599.33050847457628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f t="shared" si="10"/>
        <v>9297.4661016949176</v>
      </c>
    </row>
    <row r="35" spans="1:16" ht="30">
      <c r="A35" s="4" t="s">
        <v>64</v>
      </c>
      <c r="B35" s="5" t="s">
        <v>65</v>
      </c>
      <c r="C35" s="4" t="s">
        <v>16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f>2392.01/1.18</f>
        <v>2027.1271186440681</v>
      </c>
      <c r="N35" s="6">
        <f>2643.9/1.18</f>
        <v>2240.5932203389834</v>
      </c>
      <c r="O35" s="6">
        <f>2921.5/1.18</f>
        <v>2475.8474576271187</v>
      </c>
      <c r="P35" s="6">
        <f t="shared" si="10"/>
        <v>6743.5677966101703</v>
      </c>
    </row>
    <row r="36" spans="1:16" ht="16.5" customHeight="1">
      <c r="A36" s="4" t="s">
        <v>66</v>
      </c>
      <c r="B36" s="5" t="s">
        <v>67</v>
      </c>
      <c r="C36" s="4" t="s">
        <v>16</v>
      </c>
      <c r="D36" s="6">
        <f>142.72/1.18</f>
        <v>120.94915254237289</v>
      </c>
      <c r="E36" s="6">
        <f>37.75/1.18</f>
        <v>31.991525423728817</v>
      </c>
      <c r="F36" s="6">
        <f>32.23/1.18</f>
        <v>27.313559322033896</v>
      </c>
      <c r="G36" s="6">
        <f>18.37/1.18</f>
        <v>15.567796610169493</v>
      </c>
      <c r="H36" s="6">
        <f>2.78/1.18</f>
        <v>2.3559322033898304</v>
      </c>
      <c r="I36" s="6">
        <v>0</v>
      </c>
      <c r="J36" s="6">
        <f>138.6/1.18</f>
        <v>117.45762711864407</v>
      </c>
      <c r="K36" s="6">
        <v>0</v>
      </c>
      <c r="L36" s="6">
        <v>0</v>
      </c>
      <c r="M36" s="6">
        <f>6239.45/1.18</f>
        <v>5287.6694915254238</v>
      </c>
      <c r="N36" s="6">
        <f>7149.22/1.18</f>
        <v>6058.6610169491532</v>
      </c>
      <c r="O36" s="6">
        <f>8135.3/1.18</f>
        <v>6894.3220338983056</v>
      </c>
      <c r="P36" s="6">
        <f t="shared" si="10"/>
        <v>18556.288135593222</v>
      </c>
    </row>
    <row r="37" spans="1:16" ht="21" customHeight="1">
      <c r="A37" s="4" t="s">
        <v>145</v>
      </c>
      <c r="B37" s="5" t="s">
        <v>70</v>
      </c>
      <c r="C37" s="4" t="s">
        <v>16</v>
      </c>
      <c r="D37" s="6">
        <f>1165.51/1.18</f>
        <v>987.72033898305085</v>
      </c>
      <c r="E37" s="6">
        <f>1422.56/1.18</f>
        <v>1205.5593220338983</v>
      </c>
      <c r="F37" s="6">
        <f>965.02/1.18</f>
        <v>817.81355932203394</v>
      </c>
      <c r="G37" s="6">
        <f>532.69/1.18</f>
        <v>451.43220338983059</v>
      </c>
      <c r="H37" s="6">
        <f>83.5/1.18</f>
        <v>70.762711864406782</v>
      </c>
      <c r="I37" s="6">
        <v>0</v>
      </c>
      <c r="J37" s="6">
        <v>0</v>
      </c>
      <c r="K37" s="6">
        <v>0</v>
      </c>
      <c r="L37" s="6">
        <v>0</v>
      </c>
      <c r="M37" s="6">
        <f>14.51/1.18</f>
        <v>12.296610169491526</v>
      </c>
      <c r="N37" s="6">
        <f>1021.05/1.18</f>
        <v>865.29661016949149</v>
      </c>
      <c r="O37" s="6">
        <f>1379.27/1.18</f>
        <v>1168.8728813559323</v>
      </c>
      <c r="P37" s="6">
        <f t="shared" si="10"/>
        <v>5579.7542372881362</v>
      </c>
    </row>
    <row r="38" spans="1:16" ht="34.5" customHeight="1">
      <c r="A38" s="4">
        <v>12</v>
      </c>
      <c r="B38" s="28" t="s">
        <v>140</v>
      </c>
      <c r="C38" s="29" t="s">
        <v>16</v>
      </c>
      <c r="D38" s="10">
        <f>SUM(D39:D47)</f>
        <v>5312.6779661016953</v>
      </c>
      <c r="E38" s="10">
        <f t="shared" ref="E38:O38" si="11">SUM(E39:E47)</f>
        <v>6255.7711864406783</v>
      </c>
      <c r="F38" s="10">
        <f t="shared" si="11"/>
        <v>8731.5423728813566</v>
      </c>
      <c r="G38" s="10">
        <f t="shared" si="11"/>
        <v>9289.1186440677957</v>
      </c>
      <c r="H38" s="10">
        <f t="shared" si="11"/>
        <v>9722.6440677966111</v>
      </c>
      <c r="I38" s="10">
        <f t="shared" si="11"/>
        <v>3995.8389830508477</v>
      </c>
      <c r="J38" s="10">
        <f t="shared" si="11"/>
        <v>1172.7372881355932</v>
      </c>
      <c r="K38" s="10">
        <f t="shared" si="11"/>
        <v>1259.9915254237287</v>
      </c>
      <c r="L38" s="10">
        <f t="shared" si="11"/>
        <v>1988.0084745762713</v>
      </c>
      <c r="M38" s="10">
        <f t="shared" si="11"/>
        <v>1167.3389830508474</v>
      </c>
      <c r="N38" s="10">
        <f t="shared" si="11"/>
        <v>4322.8389830508477</v>
      </c>
      <c r="O38" s="10">
        <f t="shared" si="11"/>
        <v>8517.0508474576272</v>
      </c>
      <c r="P38" s="10">
        <f t="shared" si="10"/>
        <v>61735.559322033892</v>
      </c>
    </row>
    <row r="39" spans="1:16" ht="18.75" customHeight="1">
      <c r="A39" s="4" t="s">
        <v>71</v>
      </c>
      <c r="B39" s="5" t="s">
        <v>53</v>
      </c>
      <c r="C39" s="4" t="s">
        <v>16</v>
      </c>
      <c r="D39" s="6">
        <f>0.4/1.18</f>
        <v>0.33898305084745767</v>
      </c>
      <c r="E39" s="6">
        <f>53.15/1.18</f>
        <v>45.042372881355931</v>
      </c>
      <c r="F39" s="6">
        <f>210.44/1.18</f>
        <v>178.33898305084747</v>
      </c>
      <c r="G39" s="6">
        <f>84.91/1.18</f>
        <v>71.957627118644069</v>
      </c>
      <c r="H39" s="6">
        <f>54.98/1.18</f>
        <v>46.593220338983052</v>
      </c>
      <c r="I39" s="6">
        <f>9.06/1.18</f>
        <v>7.6779661016949161</v>
      </c>
      <c r="J39" s="6">
        <v>0</v>
      </c>
      <c r="K39" s="6">
        <f>5.51/1.18</f>
        <v>4.6694915254237293</v>
      </c>
      <c r="L39" s="6">
        <v>0</v>
      </c>
      <c r="M39" s="6">
        <f>1.28/1.18</f>
        <v>1.0847457627118644</v>
      </c>
      <c r="N39" s="6">
        <f>3.07/1.18</f>
        <v>2.6016949152542375</v>
      </c>
      <c r="O39" s="6">
        <f>254.4/1.18</f>
        <v>215.59322033898306</v>
      </c>
      <c r="P39" s="6">
        <f t="shared" si="10"/>
        <v>573.89830508474574</v>
      </c>
    </row>
    <row r="40" spans="1:16" ht="18.75" customHeight="1">
      <c r="A40" s="4" t="s">
        <v>72</v>
      </c>
      <c r="B40" s="5" t="s">
        <v>55</v>
      </c>
      <c r="C40" s="4" t="s">
        <v>16</v>
      </c>
      <c r="D40" s="6">
        <f>4.2/1.18</f>
        <v>3.5593220338983054</v>
      </c>
      <c r="E40" s="6">
        <f>167.2/1.18</f>
        <v>141.69491525423729</v>
      </c>
      <c r="F40" s="6">
        <f>985.85/1.18</f>
        <v>835.46610169491532</v>
      </c>
      <c r="G40" s="6">
        <f>1273.55/1.18</f>
        <v>1079.2796610169491</v>
      </c>
      <c r="H40" s="6">
        <f>260.43/1.18</f>
        <v>220.70338983050848</v>
      </c>
      <c r="I40" s="6">
        <f>210.65/1.18</f>
        <v>178.5169491525424</v>
      </c>
      <c r="J40" s="6">
        <f>0.42/1.18</f>
        <v>0.3559322033898305</v>
      </c>
      <c r="K40" s="6">
        <f>0.9/1.18</f>
        <v>0.76271186440677974</v>
      </c>
      <c r="L40" s="6">
        <v>0</v>
      </c>
      <c r="M40" s="6">
        <f>4.09/1.18</f>
        <v>3.4661016949152543</v>
      </c>
      <c r="N40" s="6">
        <f>471.25/1.18</f>
        <v>399.36440677966101</v>
      </c>
      <c r="O40" s="6">
        <f>1759.74/1.18</f>
        <v>1491.3050847457628</v>
      </c>
      <c r="P40" s="6">
        <f t="shared" si="10"/>
        <v>4354.4745762711864</v>
      </c>
    </row>
    <row r="41" spans="1:16" ht="20.25" customHeight="1">
      <c r="A41" s="4" t="s">
        <v>73</v>
      </c>
      <c r="B41" s="5" t="s">
        <v>57</v>
      </c>
      <c r="C41" s="4" t="s">
        <v>16</v>
      </c>
      <c r="D41" s="6">
        <f>677.96/1.18</f>
        <v>574.54237288135596</v>
      </c>
      <c r="E41" s="6">
        <f>225.55/1.18</f>
        <v>191.14406779661019</v>
      </c>
      <c r="F41" s="6">
        <f>499.12/1.18</f>
        <v>422.98305084745766</v>
      </c>
      <c r="G41" s="6">
        <f>1102.68/1.18</f>
        <v>934.47457627118649</v>
      </c>
      <c r="H41" s="6">
        <f>1954.62/1.18</f>
        <v>1656.457627118644</v>
      </c>
      <c r="I41" s="6">
        <f>121.22/1.18</f>
        <v>102.72881355932203</v>
      </c>
      <c r="J41" s="6">
        <v>0</v>
      </c>
      <c r="K41" s="6">
        <f>664.78/1.18</f>
        <v>563.37288135593224</v>
      </c>
      <c r="L41" s="6">
        <f>1573.83/1.18</f>
        <v>1333.7542372881355</v>
      </c>
      <c r="M41" s="6">
        <f>537.93/1.18</f>
        <v>455.87288135593218</v>
      </c>
      <c r="N41" s="6">
        <f>553.46/1.18</f>
        <v>469.03389830508479</v>
      </c>
      <c r="O41" s="6">
        <f>1272.41/1.18</f>
        <v>1078.3135593220341</v>
      </c>
      <c r="P41" s="6">
        <f t="shared" si="10"/>
        <v>7782.6779661016953</v>
      </c>
    </row>
    <row r="42" spans="1:16" ht="18.75" customHeight="1">
      <c r="A42" s="4" t="s">
        <v>74</v>
      </c>
      <c r="B42" s="5" t="s">
        <v>59</v>
      </c>
      <c r="C42" s="4" t="s">
        <v>16</v>
      </c>
      <c r="D42" s="6">
        <f>585/1.18</f>
        <v>495.76271186440681</v>
      </c>
      <c r="E42" s="6">
        <f>800/1.18</f>
        <v>677.96610169491532</v>
      </c>
      <c r="F42" s="6">
        <f>590.38/1.18</f>
        <v>500.32203389830511</v>
      </c>
      <c r="G42" s="6">
        <f>1211.49/1.18</f>
        <v>1026.6864406779662</v>
      </c>
      <c r="H42" s="6">
        <f>1626.06/1.18</f>
        <v>1378.0169491525423</v>
      </c>
      <c r="I42" s="6">
        <f>400/1.18</f>
        <v>338.98305084745766</v>
      </c>
      <c r="J42" s="6">
        <f>140.76/1.18</f>
        <v>119.28813559322033</v>
      </c>
      <c r="K42" s="6">
        <f>155.4/1.18</f>
        <v>131.69491525423729</v>
      </c>
      <c r="L42" s="6">
        <f>324.91/1.18</f>
        <v>275.34745762711867</v>
      </c>
      <c r="M42" s="6">
        <f>266.31/1.18</f>
        <v>225.68644067796612</v>
      </c>
      <c r="N42" s="6">
        <v>0</v>
      </c>
      <c r="O42" s="6">
        <v>0</v>
      </c>
      <c r="P42" s="6">
        <f t="shared" si="10"/>
        <v>5169.7542372881353</v>
      </c>
    </row>
    <row r="43" spans="1:16" ht="17.25" customHeight="1">
      <c r="A43" s="4" t="s">
        <v>75</v>
      </c>
      <c r="B43" s="5" t="s">
        <v>61</v>
      </c>
      <c r="C43" s="4" t="s">
        <v>16</v>
      </c>
      <c r="D43" s="6">
        <f>2645.6/1.18</f>
        <v>2242.0338983050847</v>
      </c>
      <c r="E43" s="6">
        <f>2343/1.18</f>
        <v>1985.5932203389832</v>
      </c>
      <c r="F43" s="6">
        <f>4310.28/1.18</f>
        <v>3652.7796610169489</v>
      </c>
      <c r="G43" s="6">
        <f>4244.71/1.18</f>
        <v>3597.21186440678</v>
      </c>
      <c r="H43" s="6">
        <f>4225.27/1.18</f>
        <v>3580.7372881355936</v>
      </c>
      <c r="I43" s="6">
        <f>2280.33/1.18</f>
        <v>1932.4830508474577</v>
      </c>
      <c r="J43" s="6">
        <f>994.3/1.18</f>
        <v>842.62711864406776</v>
      </c>
      <c r="K43" s="6">
        <f>535.37/1.18</f>
        <v>453.70338983050851</v>
      </c>
      <c r="L43" s="6">
        <f>329.39/1.18</f>
        <v>279.14406779661016</v>
      </c>
      <c r="M43" s="6">
        <f>158.78/1.18</f>
        <v>134.55932203389833</v>
      </c>
      <c r="N43" s="6">
        <f>237.64/1.18</f>
        <v>201.38983050847457</v>
      </c>
      <c r="O43" s="6">
        <f>222.72/1.18</f>
        <v>188.74576271186442</v>
      </c>
      <c r="P43" s="6">
        <f t="shared" si="10"/>
        <v>19091.008474576272</v>
      </c>
    </row>
    <row r="44" spans="1:16" ht="18.75" customHeight="1">
      <c r="A44" s="4" t="s">
        <v>76</v>
      </c>
      <c r="B44" s="5" t="s">
        <v>63</v>
      </c>
      <c r="C44" s="4" t="s">
        <v>16</v>
      </c>
      <c r="D44" s="6">
        <f>2050.98/1.18</f>
        <v>1738.1186440677968</v>
      </c>
      <c r="E44" s="6">
        <f>2730/1.18</f>
        <v>2313.5593220338983</v>
      </c>
      <c r="F44" s="6">
        <f>2787.51/1.18</f>
        <v>2362.2966101694919</v>
      </c>
      <c r="G44" s="6">
        <f>2431.95/1.18</f>
        <v>2060.9745762711864</v>
      </c>
      <c r="H44" s="6">
        <f>2484.4/1.18</f>
        <v>2105.4237288135596</v>
      </c>
      <c r="I44" s="6">
        <f>834.3/1.18</f>
        <v>707.03389830508479</v>
      </c>
      <c r="J44" s="6">
        <f>60.62/1.18</f>
        <v>51.372881355932201</v>
      </c>
      <c r="K44" s="6">
        <f>52.43/1.18</f>
        <v>44.432203389830512</v>
      </c>
      <c r="L44" s="6">
        <v>0</v>
      </c>
      <c r="M44" s="6">
        <v>0</v>
      </c>
      <c r="N44" s="6">
        <v>0</v>
      </c>
      <c r="O44" s="6">
        <v>0</v>
      </c>
      <c r="P44" s="6">
        <f t="shared" si="10"/>
        <v>11383.211864406778</v>
      </c>
    </row>
    <row r="45" spans="1:16" ht="30">
      <c r="A45" s="4" t="s">
        <v>77</v>
      </c>
      <c r="B45" s="5" t="s">
        <v>65</v>
      </c>
      <c r="C45" s="4" t="s">
        <v>16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f>400/1.18</f>
        <v>338.98305084745766</v>
      </c>
      <c r="J45" s="6">
        <v>0</v>
      </c>
      <c r="K45" s="6">
        <v>0</v>
      </c>
      <c r="L45" s="6">
        <v>0</v>
      </c>
      <c r="M45" s="6">
        <f>190.01/1.18</f>
        <v>161.02542372881356</v>
      </c>
      <c r="N45" s="6">
        <f>1739.95/1.18</f>
        <v>1474.5338983050849</v>
      </c>
      <c r="O45" s="6">
        <f>2827.44/1.18</f>
        <v>2396.1355932203392</v>
      </c>
      <c r="P45" s="6">
        <f t="shared" si="10"/>
        <v>4370.6779661016953</v>
      </c>
    </row>
    <row r="46" spans="1:16" ht="21" customHeight="1">
      <c r="A46" s="4" t="s">
        <v>78</v>
      </c>
      <c r="B46" s="5" t="s">
        <v>67</v>
      </c>
      <c r="C46" s="4" t="s">
        <v>16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f>190.01/1.18</f>
        <v>161.02542372881356</v>
      </c>
      <c r="N46" s="6">
        <f>1739.95/1.18</f>
        <v>1474.5338983050849</v>
      </c>
      <c r="O46" s="6">
        <f>2827.44/1.18</f>
        <v>2396.1355932203392</v>
      </c>
      <c r="P46" s="6">
        <f t="shared" si="10"/>
        <v>4031.6949152542375</v>
      </c>
    </row>
    <row r="47" spans="1:16">
      <c r="A47" s="4" t="s">
        <v>79</v>
      </c>
      <c r="B47" s="5" t="s">
        <v>70</v>
      </c>
      <c r="C47" s="4" t="s">
        <v>16</v>
      </c>
      <c r="D47" s="6">
        <f>304.82/1.18</f>
        <v>258.32203389830511</v>
      </c>
      <c r="E47" s="6">
        <f>1062.91/1.18</f>
        <v>900.77118644067809</v>
      </c>
      <c r="F47" s="6">
        <f>919.64/1.18</f>
        <v>779.3559322033899</v>
      </c>
      <c r="G47" s="6">
        <f>611.87/1.18</f>
        <v>518.53389830508479</v>
      </c>
      <c r="H47" s="6">
        <f>866.96/1.18</f>
        <v>734.71186440677968</v>
      </c>
      <c r="I47" s="6">
        <f>459.53/1.18</f>
        <v>389.43220338983053</v>
      </c>
      <c r="J47" s="6">
        <f>187.73/1.18</f>
        <v>159.09322033898306</v>
      </c>
      <c r="K47" s="6">
        <f>72.4/1.18</f>
        <v>61.355932203389841</v>
      </c>
      <c r="L47" s="6">
        <f>117.72/1.18</f>
        <v>99.762711864406782</v>
      </c>
      <c r="M47" s="6">
        <f>29.05/1.18</f>
        <v>24.618644067796613</v>
      </c>
      <c r="N47" s="6">
        <f>355.63/1.18</f>
        <v>301.38135593220341</v>
      </c>
      <c r="O47" s="6">
        <f>885.97/1.18</f>
        <v>750.82203389830511</v>
      </c>
      <c r="P47" s="6">
        <f t="shared" si="10"/>
        <v>4978.1610169491523</v>
      </c>
    </row>
    <row r="48" spans="1:16" ht="48" customHeight="1">
      <c r="A48" s="4">
        <v>13</v>
      </c>
      <c r="B48" s="5" t="s">
        <v>157</v>
      </c>
      <c r="C48" s="4" t="s">
        <v>16</v>
      </c>
      <c r="D48" s="6">
        <f>D38-D28</f>
        <v>-5759.6525423728817</v>
      </c>
      <c r="E48" s="6">
        <f t="shared" ref="E48:O48" si="12">E38-E28</f>
        <v>-4861.7711864406783</v>
      </c>
      <c r="F48" s="6">
        <f t="shared" si="12"/>
        <v>-1258.5084745762706</v>
      </c>
      <c r="G48" s="6">
        <f t="shared" si="12"/>
        <v>742.93220338982974</v>
      </c>
      <c r="H48" s="6">
        <f t="shared" si="12"/>
        <v>7347.0847457627133</v>
      </c>
      <c r="I48" s="6">
        <f t="shared" si="12"/>
        <v>3994.4661016949153</v>
      </c>
      <c r="J48" s="6">
        <f t="shared" si="12"/>
        <v>1055.2796610169491</v>
      </c>
      <c r="K48" s="6">
        <f t="shared" si="12"/>
        <v>1259.9915254237287</v>
      </c>
      <c r="L48" s="6">
        <f t="shared" si="12"/>
        <v>1974</v>
      </c>
      <c r="M48" s="6">
        <f t="shared" si="12"/>
        <v>-7223.7288135593208</v>
      </c>
      <c r="N48" s="6">
        <f t="shared" si="12"/>
        <v>-6067.0677966101703</v>
      </c>
      <c r="O48" s="6">
        <f t="shared" si="12"/>
        <v>-4314.7542372881362</v>
      </c>
      <c r="P48" s="6">
        <f>P38-P28</f>
        <v>-13111.728813559341</v>
      </c>
    </row>
    <row r="49" spans="1:16" ht="33.75" customHeight="1">
      <c r="A49" s="72" t="s">
        <v>155</v>
      </c>
      <c r="B49" s="73"/>
      <c r="C49" s="46" t="s">
        <v>16</v>
      </c>
      <c r="D49" s="47">
        <f t="shared" ref="D49:P49" si="13">D28-D26</f>
        <v>1250.7305084745767</v>
      </c>
      <c r="E49" s="47">
        <f t="shared" si="13"/>
        <v>1811.51813559322</v>
      </c>
      <c r="F49" s="47">
        <f t="shared" si="13"/>
        <v>959.12830508474508</v>
      </c>
      <c r="G49" s="47">
        <f t="shared" si="13"/>
        <v>1571.0910169491517</v>
      </c>
      <c r="H49" s="47">
        <f t="shared" si="13"/>
        <v>-1420.7838983050847</v>
      </c>
      <c r="I49" s="47">
        <f t="shared" si="13"/>
        <v>-3325.4208474576271</v>
      </c>
      <c r="J49" s="47">
        <f t="shared" si="13"/>
        <v>-2527.3923728813556</v>
      </c>
      <c r="K49" s="47">
        <f t="shared" si="13"/>
        <v>-2573.3394900000003</v>
      </c>
      <c r="L49" s="47">
        <f t="shared" si="13"/>
        <v>-3026.1164994915252</v>
      </c>
      <c r="M49" s="47">
        <f t="shared" si="13"/>
        <v>-4828.2682320339009</v>
      </c>
      <c r="N49" s="47">
        <f t="shared" si="13"/>
        <v>2162.9888855932186</v>
      </c>
      <c r="O49" s="47">
        <f t="shared" si="13"/>
        <v>998.64561677966049</v>
      </c>
      <c r="P49" s="47">
        <f t="shared" si="13"/>
        <v>-7623.033447966096</v>
      </c>
    </row>
    <row r="50" spans="1:16" ht="36.75" customHeight="1">
      <c r="A50" s="74" t="s">
        <v>156</v>
      </c>
      <c r="B50" s="75"/>
      <c r="C50" s="4" t="s">
        <v>16</v>
      </c>
      <c r="D50" s="6">
        <f t="shared" ref="D50:P50" si="14">D38-D26</f>
        <v>-4508.922033898305</v>
      </c>
      <c r="E50" s="6">
        <f t="shared" si="14"/>
        <v>-3050.2530508474583</v>
      </c>
      <c r="F50" s="6">
        <f t="shared" si="14"/>
        <v>-299.38016949152552</v>
      </c>
      <c r="G50" s="6">
        <f t="shared" si="14"/>
        <v>2314.0232203389814</v>
      </c>
      <c r="H50" s="6">
        <f t="shared" si="14"/>
        <v>5926.3008474576282</v>
      </c>
      <c r="I50" s="6">
        <f t="shared" si="14"/>
        <v>669.04525423728819</v>
      </c>
      <c r="J50" s="6">
        <f t="shared" si="14"/>
        <v>-1472.1127118644067</v>
      </c>
      <c r="K50" s="6">
        <f t="shared" si="14"/>
        <v>-1313.3479645762716</v>
      </c>
      <c r="L50" s="6">
        <f t="shared" si="14"/>
        <v>-1052.116499491525</v>
      </c>
      <c r="M50" s="6">
        <f t="shared" si="14"/>
        <v>-12051.997045593222</v>
      </c>
      <c r="N50" s="6">
        <f t="shared" si="14"/>
        <v>-3904.0789110169517</v>
      </c>
      <c r="O50" s="6">
        <f t="shared" si="14"/>
        <v>-3316.1086205084757</v>
      </c>
      <c r="P50" s="6">
        <f t="shared" si="14"/>
        <v>-20734.762261525437</v>
      </c>
    </row>
    <row r="51" spans="1:16">
      <c r="A51" s="2"/>
      <c r="B51" s="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>
      <c r="A52" s="2"/>
      <c r="B52" s="3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>
      <c r="A53" s="2"/>
      <c r="B53" s="3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>
      <c r="A54" s="2"/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>
      <c r="A55" s="2"/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>
      <c r="A56" s="2"/>
      <c r="B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>
      <c r="A57" s="2"/>
      <c r="B57" s="3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>
      <c r="A58" s="2"/>
      <c r="B58" s="3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>
      <c r="A59" s="2"/>
      <c r="B59" s="3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>
      <c r="A60" s="2"/>
      <c r="B60" s="3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>
      <c r="A61" s="2"/>
      <c r="B61" s="3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>
      <c r="A62" s="2"/>
      <c r="B62" s="3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>
      <c r="A63" s="2"/>
      <c r="B63" s="3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>
      <c r="A64" s="2"/>
      <c r="B64" s="3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>
      <c r="A65" s="2"/>
      <c r="B65" s="3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>
      <c r="A66" s="2"/>
      <c r="B66" s="3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>
      <c r="A67" s="2"/>
      <c r="B67" s="3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>
      <c r="A68" s="2"/>
      <c r="B68" s="3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>
      <c r="A69" s="2"/>
      <c r="B69" s="3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>
      <c r="A70" s="2"/>
      <c r="B70" s="3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>
      <c r="A71" s="2"/>
      <c r="B71" s="3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>
      <c r="A72" s="2"/>
      <c r="B72" s="3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>
      <c r="A73" s="2"/>
      <c r="B73" s="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>
      <c r="A74" s="2"/>
      <c r="B74" s="3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>
      <c r="A75" s="2"/>
      <c r="B75" s="3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>
      <c r="A76" s="2"/>
      <c r="B76" s="3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>
      <c r="A77" s="2"/>
      <c r="B77" s="3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>
      <c r="A78" s="2"/>
      <c r="B78" s="3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>
      <c r="A79" s="2"/>
      <c r="B79" s="3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>
      <c r="A81" s="2"/>
      <c r="B81" s="3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>
      <c r="A82" s="2"/>
      <c r="B82" s="3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>
      <c r="A83" s="2"/>
      <c r="B83" s="3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>
      <c r="A84" s="2"/>
      <c r="B84" s="3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>
      <c r="A85" s="2"/>
      <c r="B85" s="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>
      <c r="A86" s="2"/>
      <c r="B86" s="3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>
      <c r="A87" s="2"/>
      <c r="B87" s="3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>
      <c r="A88" s="2"/>
      <c r="B88" s="3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>
      <c r="A89" s="2"/>
      <c r="B89" s="3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>
      <c r="A90" s="2"/>
      <c r="B90" s="3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>
      <c r="A91" s="2"/>
      <c r="B91" s="3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>
      <c r="A92" s="2"/>
      <c r="B92" s="3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>
      <c r="A93" s="2"/>
      <c r="B93" s="3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>
      <c r="A94" s="2"/>
      <c r="B94" s="3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>
      <c r="A95" s="2"/>
      <c r="B95" s="3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>
      <c r="A96" s="2"/>
      <c r="B96" s="3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>
      <c r="A97" s="2"/>
      <c r="B97" s="3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>
      <c r="A98" s="2"/>
      <c r="B98" s="3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>
      <c r="A99" s="2"/>
      <c r="B99" s="3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>
      <c r="A100" s="2"/>
      <c r="B100" s="3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>
      <c r="A101" s="2"/>
      <c r="B101" s="3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>
      <c r="A102" s="2"/>
      <c r="B102" s="3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>
      <c r="A103" s="2"/>
      <c r="B103" s="3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>
      <c r="A104" s="2"/>
      <c r="B104" s="3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>
      <c r="A105" s="2"/>
      <c r="B105" s="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>
      <c r="A106" s="2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>
      <c r="A107" s="2"/>
      <c r="B107" s="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>
      <c r="A108" s="2"/>
      <c r="B108" s="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>
      <c r="A109" s="2"/>
      <c r="B109" s="3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>
      <c r="A110" s="2"/>
      <c r="B110" s="3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>
      <c r="A111" s="2"/>
      <c r="B111" s="3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>
      <c r="A112" s="2"/>
      <c r="B112" s="3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>
      <c r="A113" s="2"/>
      <c r="B113" s="3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>
      <c r="A114" s="2"/>
      <c r="B114" s="3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>
      <c r="A115" s="2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>
      <c r="A116" s="2"/>
      <c r="B116" s="3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>
      <c r="A117" s="2"/>
      <c r="B117" s="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>
      <c r="A118" s="2"/>
      <c r="B118" s="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>
      <c r="A119" s="2"/>
      <c r="B119" s="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>
      <c r="A120" s="2"/>
      <c r="B120" s="3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>
      <c r="A121" s="2"/>
      <c r="B121" s="3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>
      <c r="A122" s="2"/>
      <c r="B122" s="3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>
      <c r="A123" s="2"/>
      <c r="B123" s="3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>
      <c r="A124" s="2"/>
      <c r="B124" s="3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>
      <c r="A125" s="2"/>
      <c r="B125" s="3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>
      <c r="A126" s="2"/>
      <c r="B126" s="3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>
      <c r="A127" s="2"/>
      <c r="B127" s="3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>
      <c r="A128" s="2"/>
      <c r="B128" s="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>
      <c r="A129" s="2"/>
      <c r="B129" s="3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>
      <c r="A130" s="2"/>
      <c r="B130" s="3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>
      <c r="A131" s="2"/>
      <c r="B131" s="3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>
      <c r="A132" s="2"/>
      <c r="B132" s="3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>
      <c r="A133" s="2"/>
      <c r="B133" s="3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>
      <c r="A134" s="2"/>
      <c r="B134" s="3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>
      <c r="A135" s="2"/>
      <c r="B135" s="3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>
      <c r="A136" s="2"/>
      <c r="B136" s="3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>
      <c r="A137" s="2"/>
      <c r="B137" s="3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>
      <c r="A138" s="2"/>
      <c r="B138" s="3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>
      <c r="A139" s="2"/>
      <c r="B139" s="3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>
      <c r="A140" s="2"/>
      <c r="B140" s="3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>
      <c r="A141" s="2"/>
      <c r="B141" s="3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>
      <c r="A142" s="2"/>
      <c r="B142" s="3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>
      <c r="A143" s="2"/>
      <c r="B143" s="3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>
      <c r="A144" s="2"/>
      <c r="B144" s="3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>
      <c r="A145" s="2"/>
      <c r="B145" s="3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>
      <c r="A146" s="2"/>
      <c r="B146" s="3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>
      <c r="A147" s="2"/>
      <c r="B147" s="3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>
      <c r="A148" s="2"/>
      <c r="B148" s="3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>
      <c r="A149" s="2"/>
      <c r="B149" s="3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>
      <c r="A150" s="2"/>
      <c r="B150" s="3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>
      <c r="A151" s="2"/>
      <c r="B151" s="3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>
      <c r="A152" s="2"/>
      <c r="B152" s="3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>
      <c r="A153" s="2"/>
      <c r="B153" s="3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>
      <c r="A154" s="2"/>
      <c r="B154" s="3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>
      <c r="A155" s="2"/>
      <c r="B155" s="3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>
      <c r="A156" s="2"/>
      <c r="B156" s="3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>
      <c r="A157" s="2"/>
      <c r="B157" s="3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>
      <c r="A158" s="2"/>
      <c r="B158" s="3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>
      <c r="A159" s="2"/>
      <c r="B159" s="3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>
      <c r="A160" s="2"/>
      <c r="B160" s="3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>
      <c r="A161" s="2"/>
      <c r="B161" s="3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>
      <c r="A162" s="2"/>
      <c r="B162" s="3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>
      <c r="A163" s="2"/>
      <c r="B163" s="3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>
      <c r="A164" s="2"/>
      <c r="B164" s="3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>
      <c r="A165" s="2"/>
      <c r="B165" s="3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>
      <c r="A166" s="2"/>
      <c r="B166" s="3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>
      <c r="A167" s="2"/>
      <c r="B167" s="3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>
      <c r="A168" s="2"/>
      <c r="B168" s="3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>
      <c r="A169" s="2"/>
      <c r="B169" s="3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>
      <c r="A170" s="2"/>
      <c r="B170" s="3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>
      <c r="A171" s="2"/>
      <c r="B171" s="3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>
      <c r="A172" s="2"/>
      <c r="B172" s="3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>
      <c r="A173" s="2"/>
      <c r="B173" s="3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>
      <c r="A174" s="2"/>
      <c r="B174" s="3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>
      <c r="A175" s="2"/>
      <c r="B175" s="3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>
      <c r="A176" s="2"/>
      <c r="B176" s="3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>
      <c r="A177" s="2"/>
      <c r="B177" s="3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>
      <c r="A178" s="2"/>
      <c r="B178" s="3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>
      <c r="A179" s="2"/>
      <c r="B179" s="3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>
      <c r="A180" s="2"/>
      <c r="B180" s="3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>
      <c r="A181" s="2"/>
      <c r="B181" s="3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>
      <c r="A182" s="2"/>
      <c r="B182" s="3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>
      <c r="A183" s="2"/>
      <c r="B183" s="3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>
      <c r="A184" s="2"/>
      <c r="B184" s="3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>
      <c r="A185" s="2"/>
      <c r="B185" s="3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>
      <c r="A186" s="2"/>
      <c r="B186" s="3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>
      <c r="A187" s="2"/>
      <c r="B187" s="3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>
      <c r="A188" s="2"/>
      <c r="B188" s="3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>
      <c r="A189" s="2"/>
      <c r="B189" s="3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>
      <c r="A190" s="2"/>
      <c r="B190" s="3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>
      <c r="A191" s="2"/>
      <c r="B191" s="3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>
      <c r="A192" s="2"/>
      <c r="B192" s="3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>
      <c r="A193" s="2"/>
      <c r="B193" s="3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>
      <c r="A194" s="2"/>
      <c r="B194" s="3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>
      <c r="A195" s="2"/>
      <c r="B195" s="3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>
      <c r="A196" s="2"/>
      <c r="B196" s="3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>
      <c r="A197" s="2"/>
      <c r="B197" s="3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>
      <c r="A198" s="2"/>
      <c r="B198" s="3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>
      <c r="A199" s="2"/>
      <c r="B199" s="3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>
      <c r="A200" s="2"/>
      <c r="B200" s="3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>
      <c r="A201" s="2"/>
      <c r="B201" s="3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>
      <c r="A202" s="2"/>
      <c r="B202" s="3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>
      <c r="A203" s="2"/>
      <c r="B203" s="3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>
      <c r="A204" s="2"/>
      <c r="B204" s="3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>
      <c r="A205" s="2"/>
      <c r="B205" s="3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>
      <c r="A206" s="2"/>
      <c r="B206" s="3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>
      <c r="A207" s="2"/>
      <c r="B207" s="3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>
      <c r="A208" s="2"/>
      <c r="B208" s="3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>
      <c r="A209" s="2"/>
      <c r="B209" s="3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>
      <c r="A210" s="2"/>
      <c r="B210" s="3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>
      <c r="A211" s="2"/>
      <c r="B211" s="3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>
      <c r="A212" s="2"/>
      <c r="B212" s="3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>
      <c r="A213" s="2"/>
      <c r="B213" s="3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>
      <c r="A214" s="2"/>
      <c r="B214" s="3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>
      <c r="A215" s="2"/>
      <c r="B215" s="3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>
      <c r="A216" s="2"/>
      <c r="B216" s="3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>
      <c r="A217" s="2"/>
      <c r="B217" s="3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>
      <c r="A218" s="2"/>
      <c r="B218" s="3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>
      <c r="A219" s="2"/>
      <c r="B219" s="3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>
      <c r="A220" s="2"/>
      <c r="B220" s="3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>
      <c r="A221" s="2"/>
      <c r="B221" s="3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>
      <c r="A222" s="2"/>
      <c r="B222" s="3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>
      <c r="A223" s="2"/>
      <c r="B223" s="3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>
      <c r="A224" s="2"/>
      <c r="B224" s="3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>
      <c r="A225" s="2"/>
      <c r="B225" s="3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>
      <c r="A226" s="2"/>
      <c r="B226" s="3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>
      <c r="A227" s="2"/>
      <c r="B227" s="3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>
      <c r="A228" s="2"/>
      <c r="B228" s="3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>
      <c r="A229" s="2"/>
      <c r="B229" s="3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>
      <c r="A230" s="2"/>
      <c r="B230" s="3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>
      <c r="A231" s="2"/>
      <c r="B231" s="3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>
      <c r="A232" s="2"/>
      <c r="B232" s="3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>
      <c r="A233" s="2"/>
      <c r="B233" s="3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>
      <c r="A234" s="2"/>
      <c r="B234" s="3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>
      <c r="A235" s="2"/>
      <c r="B235" s="3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>
      <c r="A236" s="2"/>
      <c r="B236" s="3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>
      <c r="A237" s="2"/>
      <c r="B237" s="3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>
      <c r="A238" s="2"/>
      <c r="B238" s="3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>
      <c r="A239" s="2"/>
      <c r="B239" s="3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>
      <c r="A240" s="2"/>
      <c r="B240" s="3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>
      <c r="A241" s="2"/>
      <c r="B241" s="3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>
      <c r="A242" s="2"/>
      <c r="B242" s="3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>
      <c r="A243" s="2"/>
      <c r="B243" s="3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>
      <c r="A244" s="2"/>
      <c r="B244" s="3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>
      <c r="A245" s="2"/>
      <c r="B245" s="3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>
      <c r="A246" s="2"/>
      <c r="B246" s="3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>
      <c r="A247" s="2"/>
      <c r="B247" s="3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>
      <c r="A248" s="2"/>
      <c r="B248" s="3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>
      <c r="A249" s="2"/>
      <c r="B249" s="3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>
      <c r="A250" s="2"/>
      <c r="B250" s="3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>
      <c r="A251" s="2"/>
      <c r="B251" s="3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>
      <c r="A252" s="2"/>
      <c r="B252" s="3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>
      <c r="A253" s="2"/>
      <c r="B253" s="3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>
      <c r="A254" s="2"/>
      <c r="B254" s="3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>
      <c r="A255" s="2"/>
      <c r="B255" s="3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>
      <c r="A256" s="2"/>
      <c r="B256" s="3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>
      <c r="A257" s="2"/>
      <c r="B257" s="3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>
      <c r="A258" s="2"/>
      <c r="B258" s="3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>
      <c r="A259" s="2"/>
      <c r="B259" s="3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>
      <c r="A260" s="2"/>
      <c r="B260" s="3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>
      <c r="A261" s="2"/>
      <c r="B261" s="3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>
      <c r="A262" s="2"/>
      <c r="B262" s="3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>
      <c r="A263" s="2"/>
      <c r="B263" s="3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>
      <c r="A264" s="2"/>
      <c r="B264" s="3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>
      <c r="A265" s="2"/>
      <c r="B265" s="3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>
      <c r="A266" s="2"/>
      <c r="B266" s="3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>
      <c r="A267" s="2"/>
      <c r="B267" s="3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>
      <c r="A268" s="2"/>
      <c r="B268" s="3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>
      <c r="A269" s="2"/>
      <c r="B269" s="3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>
      <c r="A270" s="2"/>
      <c r="B270" s="3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>
      <c r="A271" s="2"/>
      <c r="B271" s="3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>
      <c r="A272" s="2"/>
      <c r="B272" s="3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>
      <c r="A273" s="2"/>
      <c r="B273" s="3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>
      <c r="A274" s="2"/>
      <c r="B274" s="3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>
      <c r="A275" s="2"/>
      <c r="B275" s="3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>
      <c r="A276" s="2"/>
      <c r="B276" s="3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>
      <c r="A277" s="2"/>
      <c r="B277" s="3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>
      <c r="A278" s="2"/>
      <c r="B278" s="3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>
      <c r="A279" s="2"/>
      <c r="B279" s="3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>
      <c r="A280" s="2"/>
      <c r="B280" s="3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>
      <c r="A281" s="2"/>
      <c r="B281" s="3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>
      <c r="A282" s="2"/>
      <c r="B282" s="3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>
      <c r="A283" s="2"/>
      <c r="B283" s="3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>
      <c r="A284" s="2"/>
      <c r="B284" s="3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>
      <c r="A285" s="2"/>
      <c r="B285" s="3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>
      <c r="A286" s="2"/>
      <c r="B286" s="3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>
      <c r="A287" s="2"/>
      <c r="B287" s="3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>
      <c r="A288" s="2"/>
      <c r="B288" s="3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>
      <c r="A289" s="2"/>
      <c r="B289" s="3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>
      <c r="A290" s="2"/>
      <c r="B290" s="3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>
      <c r="A291" s="2"/>
      <c r="B291" s="3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>
      <c r="A292" s="2"/>
      <c r="B292" s="3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>
      <c r="A293" s="2"/>
      <c r="B293" s="3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>
      <c r="A294" s="2"/>
      <c r="B294" s="3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>
      <c r="A295" s="2"/>
      <c r="B295" s="3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>
      <c r="A296" s="2"/>
      <c r="B296" s="3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>
      <c r="A297" s="2"/>
      <c r="B297" s="3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>
      <c r="A298" s="2"/>
      <c r="B298" s="3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>
      <c r="A299" s="2"/>
      <c r="B299" s="3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>
      <c r="A300" s="2"/>
      <c r="B300" s="3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>
      <c r="A301" s="2"/>
      <c r="B301" s="3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>
      <c r="A302" s="2"/>
      <c r="B302" s="3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>
      <c r="A303" s="2"/>
      <c r="B303" s="3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>
      <c r="A304" s="2"/>
      <c r="B304" s="3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>
      <c r="A305" s="2"/>
      <c r="B305" s="3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>
      <c r="A306" s="2"/>
      <c r="B306" s="3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>
      <c r="A307" s="2"/>
      <c r="B307" s="3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>
      <c r="A308" s="2"/>
      <c r="B308" s="3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1:1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1:16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1:16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1:16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1:16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1:16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1:16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1:16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</sheetData>
  <mergeCells count="5">
    <mergeCell ref="A49:B49"/>
    <mergeCell ref="A50:B50"/>
    <mergeCell ref="A1:P1"/>
    <mergeCell ref="A3:P3"/>
    <mergeCell ref="A27:P27"/>
  </mergeCells>
  <pageMargins left="0.70866141732283472" right="0.70866141732283472" top="0" bottom="0" header="0.31496062992125984" footer="0.31496062992125984"/>
  <pageSetup paperSize="9" scale="5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398"/>
  <sheetViews>
    <sheetView zoomScale="60" zoomScaleNormal="60" workbookViewId="0">
      <selection activeCell="Q7" sqref="Q7"/>
    </sheetView>
  </sheetViews>
  <sheetFormatPr defaultRowHeight="15"/>
  <cols>
    <col min="1" max="1" width="7.28515625" style="16" customWidth="1"/>
    <col min="2" max="2" width="42.5703125" style="16" customWidth="1"/>
    <col min="3" max="3" width="14.28515625" style="16" customWidth="1"/>
    <col min="4" max="4" width="17.7109375" style="16" customWidth="1"/>
    <col min="5" max="5" width="17" style="16" customWidth="1"/>
    <col min="6" max="6" width="16.42578125" style="16" customWidth="1"/>
    <col min="7" max="7" width="19.42578125" style="16" customWidth="1"/>
    <col min="8" max="16384" width="9.140625" style="16"/>
  </cols>
  <sheetData>
    <row r="1" spans="1:7" ht="51.75" customHeight="1">
      <c r="A1" s="84" t="s">
        <v>148</v>
      </c>
      <c r="B1" s="84"/>
      <c r="C1" s="84"/>
      <c r="D1" s="84"/>
      <c r="E1" s="84"/>
      <c r="F1" s="84"/>
      <c r="G1" s="84"/>
    </row>
    <row r="2" spans="1:7" ht="40.5" customHeight="1">
      <c r="A2" s="4" t="s">
        <v>0</v>
      </c>
      <c r="B2" s="4" t="s">
        <v>49</v>
      </c>
      <c r="C2" s="4" t="s">
        <v>1</v>
      </c>
      <c r="D2" s="66" t="s">
        <v>149</v>
      </c>
      <c r="E2" s="66" t="s">
        <v>150</v>
      </c>
      <c r="F2" s="66" t="s">
        <v>151</v>
      </c>
      <c r="G2" s="67" t="s">
        <v>14</v>
      </c>
    </row>
    <row r="3" spans="1:7" ht="23.25" customHeight="1">
      <c r="A3" s="4" t="s">
        <v>87</v>
      </c>
      <c r="B3" s="45" t="s">
        <v>152</v>
      </c>
      <c r="C3" s="34" t="s">
        <v>16</v>
      </c>
      <c r="D3" s="35">
        <f>82470.32+22183.94+20119.08</f>
        <v>124773.34000000001</v>
      </c>
      <c r="E3" s="35">
        <f>91323.63+31154.38+23061.66</f>
        <v>145539.67000000001</v>
      </c>
      <c r="F3" s="35">
        <f>40943.8+8488.85+5922.35</f>
        <v>55355</v>
      </c>
      <c r="G3" s="35">
        <f>SUM(D3:F3)</f>
        <v>325668.01</v>
      </c>
    </row>
    <row r="4" spans="1:7" ht="23.25" customHeight="1">
      <c r="A4" s="4" t="s">
        <v>88</v>
      </c>
      <c r="B4" s="45" t="s">
        <v>153</v>
      </c>
      <c r="C4" s="34" t="s">
        <v>16</v>
      </c>
      <c r="D4" s="35">
        <f>74847.29+12416.9+5864.09</f>
        <v>93128.279999999984</v>
      </c>
      <c r="E4" s="35">
        <f>91940+12755.22+5727</f>
        <v>110422.22</v>
      </c>
      <c r="F4" s="35">
        <f>37292.1+3050.57+1493.21</f>
        <v>41835.879999999997</v>
      </c>
      <c r="G4" s="35">
        <f t="shared" ref="G4:G8" si="0">SUM(D4:F4)</f>
        <v>245386.38</v>
      </c>
    </row>
    <row r="5" spans="1:7" ht="24" customHeight="1">
      <c r="A5" s="4" t="s">
        <v>91</v>
      </c>
      <c r="B5" s="45" t="s">
        <v>154</v>
      </c>
      <c r="C5" s="34" t="s">
        <v>16</v>
      </c>
      <c r="D5" s="35">
        <f>61735.56+12508.25+5058.12</f>
        <v>79301.929999999993</v>
      </c>
      <c r="E5" s="35">
        <f>86299.1+8726.07+4403.21</f>
        <v>99428.380000000019</v>
      </c>
      <c r="F5" s="35">
        <f>29919.93+2406.58+1289.3</f>
        <v>33615.810000000005</v>
      </c>
      <c r="G5" s="35">
        <f t="shared" si="0"/>
        <v>212346.12</v>
      </c>
    </row>
    <row r="6" spans="1:7" ht="35.25" customHeight="1">
      <c r="A6" s="4" t="s">
        <v>92</v>
      </c>
      <c r="B6" s="70" t="s">
        <v>158</v>
      </c>
      <c r="C6" s="34" t="s">
        <v>16</v>
      </c>
      <c r="D6" s="35">
        <f>D5-D4</f>
        <v>-13826.349999999991</v>
      </c>
      <c r="E6" s="35">
        <f t="shared" ref="E6:F6" si="1">E5-E4</f>
        <v>-10993.839999999982</v>
      </c>
      <c r="F6" s="35">
        <f t="shared" si="1"/>
        <v>-8220.0699999999924</v>
      </c>
      <c r="G6" s="35">
        <f t="shared" si="0"/>
        <v>-33040.259999999966</v>
      </c>
    </row>
    <row r="7" spans="1:7" ht="32.25" customHeight="1">
      <c r="A7" s="4" t="s">
        <v>93</v>
      </c>
      <c r="B7" s="70" t="s">
        <v>159</v>
      </c>
      <c r="C7" s="34" t="s">
        <v>16</v>
      </c>
      <c r="D7" s="35">
        <f>D4-D3</f>
        <v>-31645.060000000027</v>
      </c>
      <c r="E7" s="35">
        <f t="shared" ref="E7:F7" si="2">E4-E3</f>
        <v>-35117.450000000012</v>
      </c>
      <c r="F7" s="35">
        <f t="shared" si="2"/>
        <v>-13519.120000000003</v>
      </c>
      <c r="G7" s="35">
        <f t="shared" si="0"/>
        <v>-80281.630000000034</v>
      </c>
    </row>
    <row r="8" spans="1:7" ht="37.5" customHeight="1">
      <c r="A8" s="4" t="s">
        <v>94</v>
      </c>
      <c r="B8" s="70" t="s">
        <v>160</v>
      </c>
      <c r="C8" s="34" t="s">
        <v>16</v>
      </c>
      <c r="D8" s="35">
        <f>D5-D3</f>
        <v>-45471.410000000018</v>
      </c>
      <c r="E8" s="35">
        <f t="shared" ref="E8:F8" si="3">E5-E3</f>
        <v>-46111.289999999994</v>
      </c>
      <c r="F8" s="35">
        <f t="shared" si="3"/>
        <v>-21739.189999999995</v>
      </c>
      <c r="G8" s="35">
        <f t="shared" si="0"/>
        <v>-113321.89000000001</v>
      </c>
    </row>
    <row r="9" spans="1:7" ht="24.75" customHeight="1">
      <c r="A9" s="4" t="s">
        <v>95</v>
      </c>
      <c r="B9" s="5" t="s">
        <v>161</v>
      </c>
      <c r="C9" s="4" t="s">
        <v>162</v>
      </c>
      <c r="D9" s="71">
        <f>D5/D4*100</f>
        <v>85.153435669594685</v>
      </c>
      <c r="E9" s="71">
        <f t="shared" ref="E9:G9" si="4">E5/E4*100</f>
        <v>90.043815456707904</v>
      </c>
      <c r="F9" s="71">
        <f t="shared" si="4"/>
        <v>80.351626402982333</v>
      </c>
      <c r="G9" s="71">
        <f t="shared" si="4"/>
        <v>86.535414068213569</v>
      </c>
    </row>
    <row r="10" spans="1:7">
      <c r="A10" s="2"/>
      <c r="B10" s="3"/>
      <c r="C10" s="2"/>
      <c r="D10" s="2"/>
      <c r="E10" s="2"/>
      <c r="F10" s="2"/>
      <c r="G10" s="2"/>
    </row>
    <row r="11" spans="1:7">
      <c r="A11" s="2"/>
      <c r="B11" s="3"/>
      <c r="C11" s="2"/>
      <c r="D11" s="2"/>
      <c r="E11" s="2"/>
      <c r="F11" s="2"/>
      <c r="G11" s="2"/>
    </row>
    <row r="12" spans="1:7">
      <c r="A12" s="2"/>
      <c r="B12" s="3"/>
      <c r="C12" s="2"/>
      <c r="D12" s="2"/>
      <c r="E12" s="2"/>
      <c r="F12" s="2"/>
      <c r="G12" s="2"/>
    </row>
    <row r="13" spans="1:7">
      <c r="A13" s="2"/>
      <c r="B13" s="3"/>
      <c r="C13" s="2"/>
      <c r="D13" s="2"/>
      <c r="E13" s="2"/>
      <c r="F13" s="2"/>
      <c r="G13" s="2"/>
    </row>
    <row r="14" spans="1:7">
      <c r="A14" s="2"/>
      <c r="B14" s="3"/>
      <c r="C14" s="2"/>
      <c r="D14" s="2"/>
      <c r="E14" s="2"/>
      <c r="F14" s="2"/>
      <c r="G14" s="2"/>
    </row>
    <row r="15" spans="1:7">
      <c r="A15" s="2"/>
      <c r="B15" s="3"/>
      <c r="C15" s="2"/>
      <c r="D15" s="2"/>
      <c r="E15" s="2"/>
      <c r="F15" s="2"/>
      <c r="G15" s="2"/>
    </row>
    <row r="16" spans="1:7">
      <c r="A16" s="2"/>
      <c r="B16" s="3"/>
      <c r="C16" s="2"/>
      <c r="D16" s="2"/>
      <c r="E16" s="2"/>
      <c r="F16" s="2"/>
      <c r="G16" s="2"/>
    </row>
    <row r="17" spans="1:7">
      <c r="A17" s="2"/>
      <c r="B17" s="3"/>
      <c r="C17" s="2"/>
      <c r="D17" s="2"/>
      <c r="E17" s="2"/>
      <c r="F17" s="2"/>
      <c r="G17" s="2"/>
    </row>
    <row r="18" spans="1:7">
      <c r="A18" s="2"/>
      <c r="B18" s="3"/>
      <c r="C18" s="2"/>
      <c r="D18" s="2"/>
      <c r="E18" s="2"/>
      <c r="F18" s="2"/>
      <c r="G18" s="2"/>
    </row>
    <row r="19" spans="1:7">
      <c r="A19" s="2"/>
      <c r="B19" s="3"/>
      <c r="C19" s="2"/>
      <c r="D19" s="2"/>
      <c r="E19" s="2"/>
      <c r="F19" s="2"/>
      <c r="G19" s="2"/>
    </row>
    <row r="20" spans="1:7">
      <c r="A20" s="2"/>
      <c r="B20" s="3"/>
      <c r="C20" s="2"/>
      <c r="D20" s="2"/>
      <c r="E20" s="2"/>
      <c r="F20" s="2"/>
      <c r="G20" s="2"/>
    </row>
    <row r="21" spans="1:7">
      <c r="A21" s="2"/>
      <c r="B21" s="3"/>
      <c r="C21" s="2"/>
      <c r="D21" s="2"/>
      <c r="E21" s="2"/>
      <c r="F21" s="2"/>
      <c r="G21" s="2"/>
    </row>
    <row r="22" spans="1:7">
      <c r="A22" s="2"/>
      <c r="B22" s="3"/>
      <c r="C22" s="2"/>
      <c r="D22" s="2"/>
      <c r="E22" s="2"/>
      <c r="F22" s="2"/>
      <c r="G22" s="2"/>
    </row>
    <row r="23" spans="1:7">
      <c r="A23" s="2"/>
      <c r="B23" s="3"/>
      <c r="C23" s="2"/>
      <c r="D23" s="2"/>
      <c r="E23" s="2"/>
      <c r="F23" s="2"/>
      <c r="G23" s="2"/>
    </row>
    <row r="24" spans="1:7">
      <c r="A24" s="2"/>
      <c r="B24" s="3"/>
      <c r="C24" s="2"/>
      <c r="D24" s="2"/>
      <c r="E24" s="2"/>
      <c r="F24" s="2"/>
      <c r="G24" s="2"/>
    </row>
    <row r="25" spans="1:7">
      <c r="A25" s="2"/>
      <c r="B25" s="3"/>
      <c r="C25" s="2"/>
      <c r="D25" s="2"/>
      <c r="E25" s="2"/>
      <c r="F25" s="2"/>
      <c r="G25" s="2"/>
    </row>
    <row r="26" spans="1:7">
      <c r="A26" s="2"/>
      <c r="B26" s="3"/>
      <c r="C26" s="2"/>
      <c r="D26" s="2"/>
      <c r="E26" s="2"/>
      <c r="F26" s="2"/>
      <c r="G26" s="2"/>
    </row>
    <row r="27" spans="1:7">
      <c r="A27" s="2"/>
      <c r="B27" s="3"/>
      <c r="C27" s="2"/>
      <c r="D27" s="2"/>
      <c r="E27" s="2"/>
      <c r="F27" s="2"/>
      <c r="G27" s="2"/>
    </row>
    <row r="28" spans="1:7">
      <c r="A28" s="2"/>
      <c r="B28" s="3"/>
      <c r="C28" s="2"/>
      <c r="D28" s="2"/>
      <c r="E28" s="2"/>
      <c r="F28" s="2"/>
      <c r="G28" s="2"/>
    </row>
    <row r="29" spans="1:7">
      <c r="A29" s="2"/>
      <c r="B29" s="3"/>
      <c r="C29" s="2"/>
      <c r="D29" s="2"/>
      <c r="E29" s="2"/>
      <c r="F29" s="2"/>
      <c r="G29" s="2"/>
    </row>
    <row r="30" spans="1:7">
      <c r="A30" s="2"/>
      <c r="B30" s="3"/>
      <c r="C30" s="2"/>
      <c r="D30" s="2"/>
      <c r="E30" s="2"/>
      <c r="F30" s="2"/>
      <c r="G30" s="2"/>
    </row>
    <row r="31" spans="1:7">
      <c r="A31" s="2"/>
      <c r="B31" s="3"/>
      <c r="C31" s="2"/>
      <c r="D31" s="2"/>
      <c r="E31" s="2"/>
      <c r="F31" s="2"/>
      <c r="G31" s="2"/>
    </row>
    <row r="32" spans="1:7">
      <c r="A32" s="2"/>
      <c r="B32" s="3"/>
      <c r="C32" s="2"/>
      <c r="D32" s="2"/>
      <c r="E32" s="2"/>
      <c r="F32" s="2"/>
      <c r="G32" s="2"/>
    </row>
    <row r="33" spans="1:7">
      <c r="A33" s="2"/>
      <c r="B33" s="3"/>
      <c r="C33" s="2"/>
      <c r="D33" s="2"/>
      <c r="E33" s="2"/>
      <c r="F33" s="2"/>
      <c r="G33" s="2"/>
    </row>
    <row r="34" spans="1:7">
      <c r="A34" s="2"/>
      <c r="B34" s="3"/>
      <c r="C34" s="2"/>
      <c r="D34" s="2"/>
      <c r="E34" s="2"/>
      <c r="F34" s="2"/>
      <c r="G34" s="2"/>
    </row>
    <row r="35" spans="1:7">
      <c r="A35" s="2"/>
      <c r="B35" s="3"/>
      <c r="C35" s="2"/>
      <c r="D35" s="2"/>
      <c r="E35" s="2"/>
      <c r="F35" s="2"/>
      <c r="G35" s="2"/>
    </row>
    <row r="36" spans="1:7">
      <c r="A36" s="2"/>
      <c r="B36" s="3"/>
      <c r="C36" s="2"/>
      <c r="D36" s="2"/>
      <c r="E36" s="2"/>
      <c r="F36" s="2"/>
      <c r="G36" s="2"/>
    </row>
    <row r="37" spans="1:7">
      <c r="A37" s="2"/>
      <c r="B37" s="3"/>
      <c r="C37" s="2"/>
      <c r="D37" s="2"/>
      <c r="E37" s="2"/>
      <c r="F37" s="2"/>
      <c r="G37" s="2"/>
    </row>
    <row r="38" spans="1:7">
      <c r="A38" s="2"/>
      <c r="B38" s="3"/>
      <c r="C38" s="2"/>
      <c r="D38" s="2"/>
      <c r="E38" s="2"/>
      <c r="F38" s="2"/>
      <c r="G38" s="2"/>
    </row>
    <row r="39" spans="1:7">
      <c r="A39" s="2"/>
      <c r="B39" s="3"/>
      <c r="C39" s="2"/>
      <c r="D39" s="2"/>
      <c r="E39" s="2"/>
      <c r="F39" s="2"/>
      <c r="G39" s="2"/>
    </row>
    <row r="40" spans="1:7">
      <c r="A40" s="2"/>
      <c r="B40" s="3"/>
      <c r="C40" s="2"/>
      <c r="D40" s="2"/>
      <c r="E40" s="2"/>
      <c r="F40" s="2"/>
      <c r="G40" s="2"/>
    </row>
    <row r="41" spans="1:7">
      <c r="A41" s="2"/>
      <c r="B41" s="3"/>
      <c r="C41" s="2"/>
      <c r="D41" s="2"/>
      <c r="E41" s="2"/>
      <c r="F41" s="2"/>
      <c r="G41" s="2"/>
    </row>
    <row r="42" spans="1:7">
      <c r="A42" s="2"/>
      <c r="B42" s="3"/>
      <c r="C42" s="2"/>
      <c r="D42" s="2"/>
      <c r="E42" s="2"/>
      <c r="F42" s="2"/>
      <c r="G42" s="2"/>
    </row>
    <row r="43" spans="1:7">
      <c r="A43" s="2"/>
      <c r="B43" s="3"/>
      <c r="C43" s="2"/>
      <c r="D43" s="2"/>
      <c r="E43" s="2"/>
      <c r="F43" s="2"/>
      <c r="G43" s="2"/>
    </row>
    <row r="44" spans="1:7">
      <c r="A44" s="2"/>
      <c r="B44" s="3"/>
      <c r="C44" s="2"/>
      <c r="D44" s="2"/>
      <c r="E44" s="2"/>
      <c r="F44" s="2"/>
      <c r="G44" s="2"/>
    </row>
    <row r="45" spans="1:7">
      <c r="A45" s="2"/>
      <c r="B45" s="3"/>
      <c r="C45" s="2"/>
      <c r="D45" s="2"/>
      <c r="E45" s="2"/>
      <c r="F45" s="2"/>
      <c r="G45" s="2"/>
    </row>
    <row r="46" spans="1:7">
      <c r="A46" s="2"/>
      <c r="B46" s="3"/>
      <c r="C46" s="2"/>
      <c r="D46" s="2"/>
      <c r="E46" s="2"/>
      <c r="F46" s="2"/>
      <c r="G46" s="2"/>
    </row>
    <row r="47" spans="1:7">
      <c r="A47" s="2"/>
      <c r="B47" s="3"/>
      <c r="C47" s="2"/>
      <c r="D47" s="2"/>
      <c r="E47" s="2"/>
      <c r="F47" s="2"/>
      <c r="G47" s="2"/>
    </row>
    <row r="48" spans="1:7">
      <c r="A48" s="2"/>
      <c r="B48" s="3"/>
      <c r="C48" s="2"/>
      <c r="D48" s="2"/>
      <c r="E48" s="2"/>
      <c r="F48" s="2"/>
      <c r="G48" s="2"/>
    </row>
    <row r="49" spans="1:7">
      <c r="A49" s="2"/>
      <c r="B49" s="3"/>
      <c r="C49" s="2"/>
      <c r="D49" s="2"/>
      <c r="E49" s="2"/>
      <c r="F49" s="2"/>
      <c r="G49" s="2"/>
    </row>
    <row r="50" spans="1:7">
      <c r="A50" s="2"/>
      <c r="B50" s="3"/>
      <c r="C50" s="2"/>
      <c r="D50" s="2"/>
      <c r="E50" s="2"/>
      <c r="F50" s="2"/>
      <c r="G50" s="2"/>
    </row>
    <row r="51" spans="1:7">
      <c r="A51" s="2"/>
      <c r="B51" s="3"/>
      <c r="C51" s="2"/>
      <c r="D51" s="2"/>
      <c r="E51" s="2"/>
      <c r="F51" s="2"/>
      <c r="G51" s="2"/>
    </row>
    <row r="52" spans="1:7">
      <c r="A52" s="2"/>
      <c r="B52" s="3"/>
      <c r="C52" s="2"/>
      <c r="D52" s="2"/>
      <c r="E52" s="2"/>
      <c r="F52" s="2"/>
      <c r="G52" s="2"/>
    </row>
    <row r="53" spans="1:7">
      <c r="A53" s="2"/>
      <c r="B53" s="3"/>
      <c r="C53" s="2"/>
      <c r="D53" s="2"/>
      <c r="E53" s="2"/>
      <c r="F53" s="2"/>
      <c r="G53" s="2"/>
    </row>
    <row r="54" spans="1:7">
      <c r="A54" s="2"/>
      <c r="B54" s="3"/>
      <c r="C54" s="2"/>
      <c r="D54" s="2"/>
      <c r="E54" s="2"/>
      <c r="F54" s="2"/>
      <c r="G54" s="2"/>
    </row>
    <row r="55" spans="1:7">
      <c r="A55" s="2"/>
      <c r="B55" s="3"/>
      <c r="C55" s="2"/>
      <c r="D55" s="2"/>
      <c r="E55" s="2"/>
      <c r="F55" s="2"/>
      <c r="G55" s="2"/>
    </row>
    <row r="56" spans="1:7">
      <c r="A56" s="2"/>
      <c r="B56" s="3"/>
      <c r="C56" s="2"/>
      <c r="D56" s="2"/>
      <c r="E56" s="2"/>
      <c r="F56" s="2"/>
      <c r="G56" s="2"/>
    </row>
    <row r="57" spans="1:7">
      <c r="A57" s="2"/>
      <c r="B57" s="3"/>
      <c r="C57" s="2"/>
      <c r="D57" s="2"/>
      <c r="E57" s="2"/>
      <c r="F57" s="2"/>
      <c r="G57" s="2"/>
    </row>
    <row r="58" spans="1:7">
      <c r="A58" s="2"/>
      <c r="B58" s="3"/>
      <c r="C58" s="2"/>
      <c r="D58" s="2"/>
      <c r="E58" s="2"/>
      <c r="F58" s="2"/>
      <c r="G58" s="2"/>
    </row>
    <row r="59" spans="1:7">
      <c r="A59" s="2"/>
      <c r="B59" s="3"/>
      <c r="C59" s="2"/>
      <c r="D59" s="2"/>
      <c r="E59" s="2"/>
      <c r="F59" s="2"/>
      <c r="G59" s="2"/>
    </row>
    <row r="60" spans="1:7">
      <c r="A60" s="2"/>
      <c r="B60" s="3"/>
      <c r="C60" s="2"/>
      <c r="D60" s="2"/>
      <c r="E60" s="2"/>
      <c r="F60" s="2"/>
      <c r="G60" s="2"/>
    </row>
    <row r="61" spans="1:7">
      <c r="A61" s="2"/>
      <c r="B61" s="3"/>
      <c r="C61" s="2"/>
      <c r="D61" s="2"/>
      <c r="E61" s="2"/>
      <c r="F61" s="2"/>
      <c r="G61" s="2"/>
    </row>
    <row r="62" spans="1:7">
      <c r="A62" s="2"/>
      <c r="B62" s="3"/>
      <c r="C62" s="2"/>
      <c r="D62" s="2"/>
      <c r="E62" s="2"/>
      <c r="F62" s="2"/>
      <c r="G62" s="2"/>
    </row>
    <row r="63" spans="1:7">
      <c r="A63" s="2"/>
      <c r="B63" s="3"/>
      <c r="C63" s="2"/>
      <c r="D63" s="2"/>
      <c r="E63" s="2"/>
      <c r="F63" s="2"/>
      <c r="G63" s="2"/>
    </row>
    <row r="64" spans="1:7">
      <c r="A64" s="2"/>
      <c r="B64" s="3"/>
      <c r="C64" s="2"/>
      <c r="D64" s="2"/>
      <c r="E64" s="2"/>
      <c r="F64" s="2"/>
      <c r="G64" s="2"/>
    </row>
    <row r="65" spans="1:7">
      <c r="A65" s="2"/>
      <c r="B65" s="3"/>
      <c r="C65" s="2"/>
      <c r="D65" s="2"/>
      <c r="E65" s="2"/>
      <c r="F65" s="2"/>
      <c r="G65" s="2"/>
    </row>
    <row r="66" spans="1:7">
      <c r="A66" s="2"/>
      <c r="B66" s="3"/>
      <c r="C66" s="2"/>
      <c r="D66" s="2"/>
      <c r="E66" s="2"/>
      <c r="F66" s="2"/>
      <c r="G66" s="2"/>
    </row>
    <row r="67" spans="1:7">
      <c r="A67" s="2"/>
      <c r="B67" s="3"/>
      <c r="C67" s="2"/>
      <c r="D67" s="2"/>
      <c r="E67" s="2"/>
      <c r="F67" s="2"/>
      <c r="G67" s="2"/>
    </row>
    <row r="68" spans="1:7">
      <c r="A68" s="2"/>
      <c r="B68" s="3"/>
      <c r="C68" s="2"/>
      <c r="D68" s="2"/>
      <c r="E68" s="2"/>
      <c r="F68" s="2"/>
      <c r="G68" s="2"/>
    </row>
    <row r="69" spans="1:7">
      <c r="A69" s="2"/>
      <c r="B69" s="3"/>
      <c r="C69" s="2"/>
      <c r="D69" s="2"/>
      <c r="E69" s="2"/>
      <c r="F69" s="2"/>
      <c r="G69" s="2"/>
    </row>
    <row r="70" spans="1:7">
      <c r="A70" s="2"/>
      <c r="B70" s="3"/>
      <c r="C70" s="2"/>
      <c r="D70" s="2"/>
      <c r="E70" s="2"/>
      <c r="F70" s="2"/>
      <c r="G70" s="2"/>
    </row>
    <row r="71" spans="1:7">
      <c r="A71" s="2"/>
      <c r="B71" s="3"/>
      <c r="C71" s="2"/>
      <c r="D71" s="2"/>
      <c r="E71" s="2"/>
      <c r="F71" s="2"/>
      <c r="G71" s="2"/>
    </row>
    <row r="72" spans="1:7">
      <c r="A72" s="2"/>
      <c r="B72" s="3"/>
      <c r="C72" s="2"/>
      <c r="D72" s="2"/>
      <c r="E72" s="2"/>
      <c r="F72" s="2"/>
      <c r="G72" s="2"/>
    </row>
    <row r="73" spans="1:7">
      <c r="A73" s="2"/>
      <c r="B73" s="3"/>
      <c r="C73" s="2"/>
      <c r="D73" s="2"/>
      <c r="E73" s="2"/>
      <c r="F73" s="2"/>
      <c r="G73" s="2"/>
    </row>
    <row r="74" spans="1:7">
      <c r="A74" s="2"/>
      <c r="B74" s="3"/>
      <c r="C74" s="2"/>
      <c r="D74" s="2"/>
      <c r="E74" s="2"/>
      <c r="F74" s="2"/>
      <c r="G74" s="2"/>
    </row>
    <row r="75" spans="1:7">
      <c r="A75" s="2"/>
      <c r="B75" s="3"/>
      <c r="C75" s="2"/>
      <c r="D75" s="2"/>
      <c r="E75" s="2"/>
      <c r="F75" s="2"/>
      <c r="G75" s="2"/>
    </row>
    <row r="76" spans="1:7">
      <c r="A76" s="2"/>
      <c r="B76" s="3"/>
      <c r="C76" s="2"/>
      <c r="D76" s="2"/>
      <c r="E76" s="2"/>
      <c r="F76" s="2"/>
      <c r="G76" s="2"/>
    </row>
    <row r="77" spans="1:7">
      <c r="A77" s="2"/>
      <c r="B77" s="3"/>
      <c r="C77" s="2"/>
      <c r="D77" s="2"/>
      <c r="E77" s="2"/>
      <c r="F77" s="2"/>
      <c r="G77" s="2"/>
    </row>
    <row r="78" spans="1:7">
      <c r="A78" s="2"/>
      <c r="B78" s="3"/>
      <c r="C78" s="2"/>
      <c r="D78" s="2"/>
      <c r="E78" s="2"/>
      <c r="F78" s="2"/>
      <c r="G78" s="2"/>
    </row>
    <row r="79" spans="1:7">
      <c r="A79" s="2"/>
      <c r="B79" s="3"/>
      <c r="C79" s="2"/>
      <c r="D79" s="2"/>
      <c r="E79" s="2"/>
      <c r="F79" s="2"/>
      <c r="G79" s="2"/>
    </row>
    <row r="80" spans="1:7">
      <c r="A80" s="2"/>
      <c r="B80" s="3"/>
      <c r="C80" s="2"/>
      <c r="D80" s="2"/>
      <c r="E80" s="2"/>
      <c r="F80" s="2"/>
      <c r="G80" s="2"/>
    </row>
    <row r="81" spans="1:7">
      <c r="A81" s="2"/>
      <c r="B81" s="3"/>
      <c r="C81" s="2"/>
      <c r="D81" s="2"/>
      <c r="E81" s="2"/>
      <c r="F81" s="2"/>
      <c r="G81" s="2"/>
    </row>
    <row r="82" spans="1:7">
      <c r="A82" s="2"/>
      <c r="B82" s="3"/>
      <c r="C82" s="2"/>
      <c r="D82" s="2"/>
      <c r="E82" s="2"/>
      <c r="F82" s="2"/>
      <c r="G82" s="2"/>
    </row>
    <row r="83" spans="1:7">
      <c r="A83" s="2"/>
      <c r="B83" s="3"/>
      <c r="C83" s="2"/>
      <c r="D83" s="2"/>
      <c r="E83" s="2"/>
      <c r="F83" s="2"/>
      <c r="G83" s="2"/>
    </row>
    <row r="84" spans="1:7">
      <c r="A84" s="2"/>
      <c r="B84" s="3"/>
      <c r="C84" s="2"/>
      <c r="D84" s="2"/>
      <c r="E84" s="2"/>
      <c r="F84" s="2"/>
      <c r="G84" s="2"/>
    </row>
    <row r="85" spans="1:7">
      <c r="A85" s="2"/>
      <c r="B85" s="3"/>
      <c r="C85" s="2"/>
      <c r="D85" s="2"/>
      <c r="E85" s="2"/>
      <c r="F85" s="2"/>
      <c r="G85" s="2"/>
    </row>
    <row r="86" spans="1:7">
      <c r="A86" s="2"/>
      <c r="B86" s="3"/>
      <c r="C86" s="2"/>
      <c r="D86" s="2"/>
      <c r="E86" s="2"/>
      <c r="F86" s="2"/>
      <c r="G86" s="2"/>
    </row>
    <row r="87" spans="1:7">
      <c r="A87" s="2"/>
      <c r="B87" s="3"/>
      <c r="C87" s="2"/>
      <c r="D87" s="2"/>
      <c r="E87" s="2"/>
      <c r="F87" s="2"/>
      <c r="G87" s="2"/>
    </row>
    <row r="88" spans="1:7">
      <c r="A88" s="2"/>
      <c r="B88" s="3"/>
      <c r="C88" s="2"/>
      <c r="D88" s="2"/>
      <c r="E88" s="2"/>
      <c r="F88" s="2"/>
      <c r="G88" s="2"/>
    </row>
    <row r="89" spans="1:7">
      <c r="A89" s="2"/>
      <c r="B89" s="3"/>
      <c r="C89" s="2"/>
      <c r="D89" s="2"/>
      <c r="E89" s="2"/>
      <c r="F89" s="2"/>
      <c r="G89" s="2"/>
    </row>
    <row r="90" spans="1:7">
      <c r="A90" s="2"/>
      <c r="B90" s="3"/>
      <c r="C90" s="2"/>
      <c r="D90" s="2"/>
      <c r="E90" s="2"/>
      <c r="F90" s="2"/>
      <c r="G90" s="2"/>
    </row>
    <row r="91" spans="1:7">
      <c r="A91" s="2"/>
      <c r="B91" s="3"/>
      <c r="C91" s="2"/>
      <c r="D91" s="2"/>
      <c r="E91" s="2"/>
      <c r="F91" s="2"/>
      <c r="G91" s="2"/>
    </row>
    <row r="92" spans="1:7">
      <c r="A92" s="2"/>
      <c r="B92" s="3"/>
      <c r="C92" s="2"/>
      <c r="D92" s="2"/>
      <c r="E92" s="2"/>
      <c r="F92" s="2"/>
      <c r="G92" s="2"/>
    </row>
    <row r="93" spans="1:7">
      <c r="A93" s="2"/>
      <c r="B93" s="3"/>
      <c r="C93" s="2"/>
      <c r="D93" s="2"/>
      <c r="E93" s="2"/>
      <c r="F93" s="2"/>
      <c r="G93" s="2"/>
    </row>
    <row r="94" spans="1:7">
      <c r="A94" s="2"/>
      <c r="B94" s="3"/>
      <c r="C94" s="2"/>
      <c r="D94" s="2"/>
      <c r="E94" s="2"/>
      <c r="F94" s="2"/>
      <c r="G94" s="2"/>
    </row>
    <row r="95" spans="1:7">
      <c r="A95" s="2"/>
      <c r="B95" s="3"/>
      <c r="C95" s="2"/>
      <c r="D95" s="2"/>
      <c r="E95" s="2"/>
      <c r="F95" s="2"/>
      <c r="G95" s="2"/>
    </row>
    <row r="96" spans="1:7">
      <c r="A96" s="2"/>
      <c r="B96" s="3"/>
      <c r="C96" s="2"/>
      <c r="D96" s="2"/>
      <c r="E96" s="2"/>
      <c r="F96" s="2"/>
      <c r="G96" s="2"/>
    </row>
    <row r="97" spans="1:7">
      <c r="A97" s="2"/>
      <c r="B97" s="3"/>
      <c r="C97" s="2"/>
      <c r="D97" s="2"/>
      <c r="E97" s="2"/>
      <c r="F97" s="2"/>
      <c r="G97" s="2"/>
    </row>
    <row r="98" spans="1:7">
      <c r="A98" s="2"/>
      <c r="B98" s="3"/>
      <c r="C98" s="2"/>
      <c r="D98" s="2"/>
      <c r="E98" s="2"/>
      <c r="F98" s="2"/>
      <c r="G98" s="2"/>
    </row>
    <row r="99" spans="1:7">
      <c r="A99" s="2"/>
      <c r="B99" s="3"/>
      <c r="C99" s="2"/>
      <c r="D99" s="2"/>
      <c r="E99" s="2"/>
      <c r="F99" s="2"/>
      <c r="G99" s="2"/>
    </row>
    <row r="100" spans="1:7">
      <c r="A100" s="2"/>
      <c r="B100" s="3"/>
      <c r="C100" s="2"/>
      <c r="D100" s="2"/>
      <c r="E100" s="2"/>
      <c r="F100" s="2"/>
      <c r="G100" s="2"/>
    </row>
    <row r="101" spans="1:7">
      <c r="A101" s="2"/>
      <c r="B101" s="3"/>
      <c r="C101" s="2"/>
      <c r="D101" s="2"/>
      <c r="E101" s="2"/>
      <c r="F101" s="2"/>
      <c r="G101" s="2"/>
    </row>
    <row r="102" spans="1:7">
      <c r="A102" s="2"/>
      <c r="B102" s="3"/>
      <c r="C102" s="2"/>
      <c r="D102" s="2"/>
      <c r="E102" s="2"/>
      <c r="F102" s="2"/>
      <c r="G102" s="2"/>
    </row>
    <row r="103" spans="1:7">
      <c r="A103" s="2"/>
      <c r="B103" s="3"/>
      <c r="C103" s="2"/>
      <c r="D103" s="2"/>
      <c r="E103" s="2"/>
      <c r="F103" s="2"/>
      <c r="G103" s="2"/>
    </row>
    <row r="104" spans="1:7">
      <c r="A104" s="2"/>
      <c r="B104" s="3"/>
      <c r="C104" s="2"/>
      <c r="D104" s="2"/>
      <c r="E104" s="2"/>
      <c r="F104" s="2"/>
      <c r="G104" s="2"/>
    </row>
    <row r="105" spans="1:7">
      <c r="A105" s="2"/>
      <c r="B105" s="3"/>
      <c r="C105" s="2"/>
      <c r="D105" s="2"/>
      <c r="E105" s="2"/>
      <c r="F105" s="2"/>
      <c r="G105" s="2"/>
    </row>
    <row r="106" spans="1:7">
      <c r="A106" s="2"/>
      <c r="B106" s="3"/>
      <c r="C106" s="2"/>
      <c r="D106" s="2"/>
      <c r="E106" s="2"/>
      <c r="F106" s="2"/>
      <c r="G106" s="2"/>
    </row>
    <row r="107" spans="1:7">
      <c r="A107" s="2"/>
      <c r="B107" s="3"/>
      <c r="C107" s="2"/>
      <c r="D107" s="2"/>
      <c r="E107" s="2"/>
      <c r="F107" s="2"/>
      <c r="G107" s="2"/>
    </row>
    <row r="108" spans="1:7">
      <c r="A108" s="2"/>
      <c r="B108" s="3"/>
      <c r="C108" s="2"/>
      <c r="D108" s="2"/>
      <c r="E108" s="2"/>
      <c r="F108" s="2"/>
      <c r="G108" s="2"/>
    </row>
    <row r="109" spans="1:7">
      <c r="A109" s="2"/>
      <c r="B109" s="3"/>
      <c r="C109" s="2"/>
      <c r="D109" s="2"/>
      <c r="E109" s="2"/>
      <c r="F109" s="2"/>
      <c r="G109" s="2"/>
    </row>
    <row r="110" spans="1:7">
      <c r="A110" s="2"/>
      <c r="B110" s="3"/>
      <c r="C110" s="2"/>
      <c r="D110" s="2"/>
      <c r="E110" s="2"/>
      <c r="F110" s="2"/>
      <c r="G110" s="2"/>
    </row>
    <row r="111" spans="1:7">
      <c r="A111" s="2"/>
      <c r="B111" s="3"/>
      <c r="C111" s="2"/>
      <c r="D111" s="2"/>
      <c r="E111" s="2"/>
      <c r="F111" s="2"/>
      <c r="G111" s="2"/>
    </row>
    <row r="112" spans="1:7">
      <c r="A112" s="2"/>
      <c r="B112" s="3"/>
      <c r="C112" s="2"/>
      <c r="D112" s="2"/>
      <c r="E112" s="2"/>
      <c r="F112" s="2"/>
      <c r="G112" s="2"/>
    </row>
    <row r="113" spans="1:7">
      <c r="A113" s="2"/>
      <c r="B113" s="3"/>
      <c r="C113" s="2"/>
      <c r="D113" s="2"/>
      <c r="E113" s="2"/>
      <c r="F113" s="2"/>
      <c r="G113" s="2"/>
    </row>
    <row r="114" spans="1:7">
      <c r="A114" s="2"/>
      <c r="B114" s="3"/>
      <c r="C114" s="2"/>
      <c r="D114" s="2"/>
      <c r="E114" s="2"/>
      <c r="F114" s="2"/>
      <c r="G114" s="2"/>
    </row>
    <row r="115" spans="1:7">
      <c r="A115" s="2"/>
      <c r="B115" s="3"/>
      <c r="C115" s="2"/>
      <c r="D115" s="2"/>
      <c r="E115" s="2"/>
      <c r="F115" s="2"/>
      <c r="G115" s="2"/>
    </row>
    <row r="116" spans="1:7">
      <c r="A116" s="2"/>
      <c r="B116" s="3"/>
      <c r="C116" s="2"/>
      <c r="D116" s="2"/>
      <c r="E116" s="2"/>
      <c r="F116" s="2"/>
      <c r="G116" s="2"/>
    </row>
    <row r="117" spans="1:7">
      <c r="A117" s="2"/>
      <c r="B117" s="3"/>
      <c r="C117" s="2"/>
      <c r="D117" s="2"/>
      <c r="E117" s="2"/>
      <c r="F117" s="2"/>
      <c r="G117" s="2"/>
    </row>
    <row r="118" spans="1:7">
      <c r="A118" s="2"/>
      <c r="B118" s="3"/>
      <c r="C118" s="2"/>
      <c r="D118" s="2"/>
      <c r="E118" s="2"/>
      <c r="F118" s="2"/>
      <c r="G118" s="2"/>
    </row>
    <row r="119" spans="1:7">
      <c r="A119" s="2"/>
      <c r="B119" s="3"/>
      <c r="C119" s="2"/>
      <c r="D119" s="2"/>
      <c r="E119" s="2"/>
      <c r="F119" s="2"/>
      <c r="G119" s="2"/>
    </row>
    <row r="120" spans="1:7">
      <c r="A120" s="2"/>
      <c r="B120" s="3"/>
      <c r="C120" s="2"/>
      <c r="D120" s="2"/>
      <c r="E120" s="2"/>
      <c r="F120" s="2"/>
      <c r="G120" s="2"/>
    </row>
    <row r="121" spans="1:7">
      <c r="A121" s="2"/>
      <c r="B121" s="3"/>
      <c r="C121" s="2"/>
      <c r="D121" s="2"/>
      <c r="E121" s="2"/>
      <c r="F121" s="2"/>
      <c r="G121" s="2"/>
    </row>
    <row r="122" spans="1:7">
      <c r="A122" s="2"/>
      <c r="B122" s="3"/>
      <c r="C122" s="2"/>
      <c r="D122" s="2"/>
      <c r="E122" s="2"/>
      <c r="F122" s="2"/>
      <c r="G122" s="2"/>
    </row>
    <row r="123" spans="1:7">
      <c r="A123" s="2"/>
      <c r="B123" s="3"/>
      <c r="C123" s="2"/>
      <c r="D123" s="2"/>
      <c r="E123" s="2"/>
      <c r="F123" s="2"/>
      <c r="G123" s="2"/>
    </row>
    <row r="124" spans="1:7">
      <c r="A124" s="2"/>
      <c r="B124" s="3"/>
      <c r="C124" s="2"/>
      <c r="D124" s="2"/>
      <c r="E124" s="2"/>
      <c r="F124" s="2"/>
      <c r="G124" s="2"/>
    </row>
    <row r="125" spans="1:7">
      <c r="A125" s="2"/>
      <c r="B125" s="3"/>
      <c r="C125" s="2"/>
      <c r="D125" s="2"/>
      <c r="E125" s="2"/>
      <c r="F125" s="2"/>
      <c r="G125" s="2"/>
    </row>
    <row r="126" spans="1:7">
      <c r="A126" s="2"/>
      <c r="B126" s="3"/>
      <c r="C126" s="2"/>
      <c r="D126" s="2"/>
      <c r="E126" s="2"/>
      <c r="F126" s="2"/>
      <c r="G126" s="2"/>
    </row>
    <row r="127" spans="1:7">
      <c r="A127" s="2"/>
      <c r="B127" s="3"/>
      <c r="C127" s="2"/>
      <c r="D127" s="2"/>
      <c r="E127" s="2"/>
      <c r="F127" s="2"/>
      <c r="G127" s="2"/>
    </row>
    <row r="128" spans="1:7">
      <c r="A128" s="2"/>
      <c r="B128" s="3"/>
      <c r="C128" s="2"/>
      <c r="D128" s="2"/>
      <c r="E128" s="2"/>
      <c r="F128" s="2"/>
      <c r="G128" s="2"/>
    </row>
    <row r="129" spans="1:7">
      <c r="A129" s="2"/>
      <c r="B129" s="3"/>
      <c r="C129" s="2"/>
      <c r="D129" s="2"/>
      <c r="E129" s="2"/>
      <c r="F129" s="2"/>
      <c r="G129" s="2"/>
    </row>
    <row r="130" spans="1:7">
      <c r="A130" s="2"/>
      <c r="B130" s="3"/>
      <c r="C130" s="2"/>
      <c r="D130" s="2"/>
      <c r="E130" s="2"/>
      <c r="F130" s="2"/>
      <c r="G130" s="2"/>
    </row>
    <row r="131" spans="1:7">
      <c r="A131" s="2"/>
      <c r="B131" s="3"/>
      <c r="C131" s="2"/>
      <c r="D131" s="2"/>
      <c r="E131" s="2"/>
      <c r="F131" s="2"/>
      <c r="G131" s="2"/>
    </row>
    <row r="132" spans="1:7">
      <c r="A132" s="2"/>
      <c r="B132" s="3"/>
      <c r="C132" s="2"/>
      <c r="D132" s="2"/>
      <c r="E132" s="2"/>
      <c r="F132" s="2"/>
      <c r="G132" s="2"/>
    </row>
    <row r="133" spans="1:7">
      <c r="A133" s="2"/>
      <c r="B133" s="3"/>
      <c r="C133" s="2"/>
      <c r="D133" s="2"/>
      <c r="E133" s="2"/>
      <c r="F133" s="2"/>
      <c r="G133" s="2"/>
    </row>
    <row r="134" spans="1:7">
      <c r="A134" s="2"/>
      <c r="B134" s="3"/>
      <c r="C134" s="2"/>
      <c r="D134" s="2"/>
      <c r="E134" s="2"/>
      <c r="F134" s="2"/>
      <c r="G134" s="2"/>
    </row>
    <row r="135" spans="1:7">
      <c r="A135" s="2"/>
      <c r="B135" s="3"/>
      <c r="C135" s="2"/>
      <c r="D135" s="2"/>
      <c r="E135" s="2"/>
      <c r="F135" s="2"/>
      <c r="G135" s="2"/>
    </row>
    <row r="136" spans="1:7">
      <c r="A136" s="2"/>
      <c r="B136" s="3"/>
      <c r="C136" s="2"/>
      <c r="D136" s="2"/>
      <c r="E136" s="2"/>
      <c r="F136" s="2"/>
      <c r="G136" s="2"/>
    </row>
    <row r="137" spans="1:7">
      <c r="A137" s="2"/>
      <c r="B137" s="3"/>
      <c r="C137" s="2"/>
      <c r="D137" s="2"/>
      <c r="E137" s="2"/>
      <c r="F137" s="2"/>
      <c r="G137" s="2"/>
    </row>
    <row r="138" spans="1:7">
      <c r="A138" s="2"/>
      <c r="B138" s="3"/>
      <c r="C138" s="2"/>
      <c r="D138" s="2"/>
      <c r="E138" s="2"/>
      <c r="F138" s="2"/>
      <c r="G138" s="2"/>
    </row>
    <row r="139" spans="1:7">
      <c r="A139" s="2"/>
      <c r="B139" s="3"/>
      <c r="C139" s="2"/>
      <c r="D139" s="2"/>
      <c r="E139" s="2"/>
      <c r="F139" s="2"/>
      <c r="G139" s="2"/>
    </row>
    <row r="140" spans="1:7">
      <c r="A140" s="2"/>
      <c r="B140" s="3"/>
      <c r="C140" s="2"/>
      <c r="D140" s="2"/>
      <c r="E140" s="2"/>
      <c r="F140" s="2"/>
      <c r="G140" s="2"/>
    </row>
    <row r="141" spans="1:7">
      <c r="A141" s="2"/>
      <c r="B141" s="3"/>
      <c r="C141" s="2"/>
      <c r="D141" s="2"/>
      <c r="E141" s="2"/>
      <c r="F141" s="2"/>
      <c r="G141" s="2"/>
    </row>
    <row r="142" spans="1:7">
      <c r="A142" s="2"/>
      <c r="B142" s="3"/>
      <c r="C142" s="2"/>
      <c r="D142" s="2"/>
      <c r="E142" s="2"/>
      <c r="F142" s="2"/>
      <c r="G142" s="2"/>
    </row>
    <row r="143" spans="1:7">
      <c r="A143" s="2"/>
      <c r="B143" s="3"/>
      <c r="C143" s="2"/>
      <c r="D143" s="2"/>
      <c r="E143" s="2"/>
      <c r="F143" s="2"/>
      <c r="G143" s="2"/>
    </row>
    <row r="144" spans="1:7">
      <c r="A144" s="2"/>
      <c r="B144" s="3"/>
      <c r="C144" s="2"/>
      <c r="D144" s="2"/>
      <c r="E144" s="2"/>
      <c r="F144" s="2"/>
      <c r="G144" s="2"/>
    </row>
    <row r="145" spans="1:7">
      <c r="A145" s="2"/>
      <c r="B145" s="3"/>
      <c r="C145" s="2"/>
      <c r="D145" s="2"/>
      <c r="E145" s="2"/>
      <c r="F145" s="2"/>
      <c r="G145" s="2"/>
    </row>
    <row r="146" spans="1:7">
      <c r="A146" s="2"/>
      <c r="B146" s="3"/>
      <c r="C146" s="2"/>
      <c r="D146" s="2"/>
      <c r="E146" s="2"/>
      <c r="F146" s="2"/>
      <c r="G146" s="2"/>
    </row>
    <row r="147" spans="1:7">
      <c r="A147" s="2"/>
      <c r="B147" s="3"/>
      <c r="C147" s="2"/>
      <c r="D147" s="2"/>
      <c r="E147" s="2"/>
      <c r="F147" s="2"/>
      <c r="G147" s="2"/>
    </row>
    <row r="148" spans="1:7">
      <c r="A148" s="2"/>
      <c r="B148" s="3"/>
      <c r="C148" s="2"/>
      <c r="D148" s="2"/>
      <c r="E148" s="2"/>
      <c r="F148" s="2"/>
      <c r="G148" s="2"/>
    </row>
    <row r="149" spans="1:7">
      <c r="A149" s="2"/>
      <c r="B149" s="3"/>
      <c r="C149" s="2"/>
      <c r="D149" s="2"/>
      <c r="E149" s="2"/>
      <c r="F149" s="2"/>
      <c r="G149" s="2"/>
    </row>
    <row r="150" spans="1:7">
      <c r="A150" s="2"/>
      <c r="B150" s="3"/>
      <c r="C150" s="2"/>
      <c r="D150" s="2"/>
      <c r="E150" s="2"/>
      <c r="F150" s="2"/>
      <c r="G150" s="2"/>
    </row>
    <row r="151" spans="1:7">
      <c r="A151" s="2"/>
      <c r="B151" s="3"/>
      <c r="C151" s="2"/>
      <c r="D151" s="2"/>
      <c r="E151" s="2"/>
      <c r="F151" s="2"/>
      <c r="G151" s="2"/>
    </row>
    <row r="152" spans="1:7">
      <c r="A152" s="2"/>
      <c r="B152" s="3"/>
      <c r="C152" s="2"/>
      <c r="D152" s="2"/>
      <c r="E152" s="2"/>
      <c r="F152" s="2"/>
      <c r="G152" s="2"/>
    </row>
    <row r="153" spans="1:7">
      <c r="A153" s="2"/>
      <c r="B153" s="3"/>
      <c r="C153" s="2"/>
      <c r="D153" s="2"/>
      <c r="E153" s="2"/>
      <c r="F153" s="2"/>
      <c r="G153" s="2"/>
    </row>
    <row r="154" spans="1:7">
      <c r="A154" s="2"/>
      <c r="B154" s="3"/>
      <c r="C154" s="2"/>
      <c r="D154" s="2"/>
      <c r="E154" s="2"/>
      <c r="F154" s="2"/>
      <c r="G154" s="2"/>
    </row>
    <row r="155" spans="1:7">
      <c r="A155" s="2"/>
      <c r="B155" s="3"/>
      <c r="C155" s="2"/>
      <c r="D155" s="2"/>
      <c r="E155" s="2"/>
      <c r="F155" s="2"/>
      <c r="G155" s="2"/>
    </row>
    <row r="156" spans="1:7">
      <c r="A156" s="2"/>
      <c r="B156" s="3"/>
      <c r="C156" s="2"/>
      <c r="D156" s="2"/>
      <c r="E156" s="2"/>
      <c r="F156" s="2"/>
      <c r="G156" s="2"/>
    </row>
    <row r="157" spans="1:7">
      <c r="A157" s="2"/>
      <c r="B157" s="3"/>
      <c r="C157" s="2"/>
      <c r="D157" s="2"/>
      <c r="E157" s="2"/>
      <c r="F157" s="2"/>
      <c r="G157" s="2"/>
    </row>
    <row r="158" spans="1:7">
      <c r="A158" s="2"/>
      <c r="B158" s="3"/>
      <c r="C158" s="2"/>
      <c r="D158" s="2"/>
      <c r="E158" s="2"/>
      <c r="F158" s="2"/>
      <c r="G158" s="2"/>
    </row>
    <row r="159" spans="1:7">
      <c r="A159" s="2"/>
      <c r="B159" s="3"/>
      <c r="C159" s="2"/>
      <c r="D159" s="2"/>
      <c r="E159" s="2"/>
      <c r="F159" s="2"/>
      <c r="G159" s="2"/>
    </row>
    <row r="160" spans="1:7">
      <c r="A160" s="2"/>
      <c r="B160" s="3"/>
      <c r="C160" s="2"/>
      <c r="D160" s="2"/>
      <c r="E160" s="2"/>
      <c r="F160" s="2"/>
      <c r="G160" s="2"/>
    </row>
    <row r="161" spans="1:7">
      <c r="A161" s="2"/>
      <c r="B161" s="3"/>
      <c r="C161" s="2"/>
      <c r="D161" s="2"/>
      <c r="E161" s="2"/>
      <c r="F161" s="2"/>
      <c r="G161" s="2"/>
    </row>
    <row r="162" spans="1:7">
      <c r="A162" s="2"/>
      <c r="B162" s="3"/>
      <c r="C162" s="2"/>
      <c r="D162" s="2"/>
      <c r="E162" s="2"/>
      <c r="F162" s="2"/>
      <c r="G162" s="2"/>
    </row>
    <row r="163" spans="1:7">
      <c r="A163" s="2"/>
      <c r="B163" s="3"/>
      <c r="C163" s="2"/>
      <c r="D163" s="2"/>
      <c r="E163" s="2"/>
      <c r="F163" s="2"/>
      <c r="G163" s="2"/>
    </row>
    <row r="164" spans="1:7">
      <c r="A164" s="2"/>
      <c r="B164" s="3"/>
      <c r="C164" s="2"/>
      <c r="D164" s="2"/>
      <c r="E164" s="2"/>
      <c r="F164" s="2"/>
      <c r="G164" s="2"/>
    </row>
    <row r="165" spans="1:7">
      <c r="A165" s="2"/>
      <c r="B165" s="3"/>
      <c r="C165" s="2"/>
      <c r="D165" s="2"/>
      <c r="E165" s="2"/>
      <c r="F165" s="2"/>
      <c r="G165" s="2"/>
    </row>
    <row r="166" spans="1:7">
      <c r="A166" s="2"/>
      <c r="B166" s="3"/>
      <c r="C166" s="2"/>
      <c r="D166" s="2"/>
      <c r="E166" s="2"/>
      <c r="F166" s="2"/>
      <c r="G166" s="2"/>
    </row>
    <row r="167" spans="1:7">
      <c r="A167" s="2"/>
      <c r="B167" s="3"/>
      <c r="C167" s="2"/>
      <c r="D167" s="2"/>
      <c r="E167" s="2"/>
      <c r="F167" s="2"/>
      <c r="G167" s="2"/>
    </row>
    <row r="168" spans="1:7">
      <c r="A168" s="2"/>
      <c r="B168" s="3"/>
      <c r="C168" s="2"/>
      <c r="D168" s="2"/>
      <c r="E168" s="2"/>
      <c r="F168" s="2"/>
      <c r="G168" s="2"/>
    </row>
    <row r="169" spans="1:7">
      <c r="A169" s="2"/>
      <c r="B169" s="3"/>
      <c r="C169" s="2"/>
      <c r="D169" s="2"/>
      <c r="E169" s="2"/>
      <c r="F169" s="2"/>
      <c r="G169" s="2"/>
    </row>
    <row r="170" spans="1:7">
      <c r="A170" s="2"/>
      <c r="B170" s="3"/>
      <c r="C170" s="2"/>
      <c r="D170" s="2"/>
      <c r="E170" s="2"/>
      <c r="F170" s="2"/>
      <c r="G170" s="2"/>
    </row>
    <row r="171" spans="1:7">
      <c r="A171" s="2"/>
      <c r="B171" s="3"/>
      <c r="C171" s="2"/>
      <c r="D171" s="2"/>
      <c r="E171" s="2"/>
      <c r="F171" s="2"/>
      <c r="G171" s="2"/>
    </row>
    <row r="172" spans="1:7">
      <c r="A172" s="2"/>
      <c r="B172" s="3"/>
      <c r="C172" s="2"/>
      <c r="D172" s="2"/>
      <c r="E172" s="2"/>
      <c r="F172" s="2"/>
      <c r="G172" s="2"/>
    </row>
    <row r="173" spans="1:7">
      <c r="A173" s="2"/>
      <c r="B173" s="3"/>
      <c r="C173" s="2"/>
      <c r="D173" s="2"/>
      <c r="E173" s="2"/>
      <c r="F173" s="2"/>
      <c r="G173" s="2"/>
    </row>
    <row r="174" spans="1:7">
      <c r="A174" s="2"/>
      <c r="B174" s="3"/>
      <c r="C174" s="2"/>
      <c r="D174" s="2"/>
      <c r="E174" s="2"/>
      <c r="F174" s="2"/>
      <c r="G174" s="2"/>
    </row>
    <row r="175" spans="1:7">
      <c r="A175" s="2"/>
      <c r="B175" s="3"/>
      <c r="C175" s="2"/>
      <c r="D175" s="2"/>
      <c r="E175" s="2"/>
      <c r="F175" s="2"/>
      <c r="G175" s="2"/>
    </row>
    <row r="176" spans="1:7">
      <c r="A176" s="2"/>
      <c r="B176" s="3"/>
      <c r="C176" s="2"/>
      <c r="D176" s="2"/>
      <c r="E176" s="2"/>
      <c r="F176" s="2"/>
      <c r="G176" s="2"/>
    </row>
    <row r="177" spans="1:7">
      <c r="A177" s="2"/>
      <c r="B177" s="3"/>
      <c r="C177" s="2"/>
      <c r="D177" s="2"/>
      <c r="E177" s="2"/>
      <c r="F177" s="2"/>
      <c r="G177" s="2"/>
    </row>
    <row r="178" spans="1:7">
      <c r="A178" s="2"/>
      <c r="B178" s="3"/>
      <c r="C178" s="2"/>
      <c r="D178" s="2"/>
      <c r="E178" s="2"/>
      <c r="F178" s="2"/>
      <c r="G178" s="2"/>
    </row>
    <row r="179" spans="1:7">
      <c r="A179" s="2"/>
      <c r="B179" s="3"/>
      <c r="C179" s="2"/>
      <c r="D179" s="2"/>
      <c r="E179" s="2"/>
      <c r="F179" s="2"/>
      <c r="G179" s="2"/>
    </row>
    <row r="180" spans="1:7">
      <c r="A180" s="2"/>
      <c r="B180" s="3"/>
      <c r="C180" s="2"/>
      <c r="D180" s="2"/>
      <c r="E180" s="2"/>
      <c r="F180" s="2"/>
      <c r="G180" s="2"/>
    </row>
    <row r="181" spans="1:7">
      <c r="A181" s="2"/>
      <c r="B181" s="3"/>
      <c r="C181" s="2"/>
      <c r="D181" s="2"/>
      <c r="E181" s="2"/>
      <c r="F181" s="2"/>
      <c r="G181" s="2"/>
    </row>
    <row r="182" spans="1:7">
      <c r="A182" s="2"/>
      <c r="B182" s="3"/>
      <c r="C182" s="2"/>
      <c r="D182" s="2"/>
      <c r="E182" s="2"/>
      <c r="F182" s="2"/>
      <c r="G182" s="2"/>
    </row>
    <row r="183" spans="1:7">
      <c r="A183" s="2"/>
      <c r="B183" s="3"/>
      <c r="C183" s="2"/>
      <c r="D183" s="2"/>
      <c r="E183" s="2"/>
      <c r="F183" s="2"/>
      <c r="G183" s="2"/>
    </row>
    <row r="184" spans="1:7">
      <c r="A184" s="2"/>
      <c r="B184" s="3"/>
      <c r="C184" s="2"/>
      <c r="D184" s="2"/>
      <c r="E184" s="2"/>
      <c r="F184" s="2"/>
      <c r="G184" s="2"/>
    </row>
    <row r="185" spans="1:7">
      <c r="A185" s="2"/>
      <c r="B185" s="3"/>
      <c r="C185" s="2"/>
      <c r="D185" s="2"/>
      <c r="E185" s="2"/>
      <c r="F185" s="2"/>
      <c r="G185" s="2"/>
    </row>
    <row r="186" spans="1:7">
      <c r="A186" s="2"/>
      <c r="B186" s="3"/>
      <c r="C186" s="2"/>
      <c r="D186" s="2"/>
      <c r="E186" s="2"/>
      <c r="F186" s="2"/>
      <c r="G186" s="2"/>
    </row>
    <row r="187" spans="1:7">
      <c r="A187" s="2"/>
      <c r="B187" s="3"/>
      <c r="C187" s="2"/>
      <c r="D187" s="2"/>
      <c r="E187" s="2"/>
      <c r="F187" s="2"/>
      <c r="G187" s="2"/>
    </row>
    <row r="188" spans="1:7">
      <c r="A188" s="2"/>
      <c r="B188" s="3"/>
      <c r="C188" s="2"/>
      <c r="D188" s="2"/>
      <c r="E188" s="2"/>
      <c r="F188" s="2"/>
      <c r="G188" s="2"/>
    </row>
    <row r="189" spans="1:7">
      <c r="A189" s="2"/>
      <c r="B189" s="3"/>
      <c r="C189" s="2"/>
      <c r="D189" s="2"/>
      <c r="E189" s="2"/>
      <c r="F189" s="2"/>
      <c r="G189" s="2"/>
    </row>
    <row r="190" spans="1:7">
      <c r="A190" s="2"/>
      <c r="B190" s="3"/>
      <c r="C190" s="2"/>
      <c r="D190" s="2"/>
      <c r="E190" s="2"/>
      <c r="F190" s="2"/>
      <c r="G190" s="2"/>
    </row>
    <row r="191" spans="1:7">
      <c r="A191" s="2"/>
      <c r="B191" s="3"/>
      <c r="C191" s="2"/>
      <c r="D191" s="2"/>
      <c r="E191" s="2"/>
      <c r="F191" s="2"/>
      <c r="G191" s="2"/>
    </row>
    <row r="192" spans="1:7">
      <c r="A192" s="2"/>
      <c r="B192" s="3"/>
      <c r="C192" s="2"/>
      <c r="D192" s="2"/>
      <c r="E192" s="2"/>
      <c r="F192" s="2"/>
      <c r="G192" s="2"/>
    </row>
    <row r="193" spans="1:7">
      <c r="A193" s="2"/>
      <c r="B193" s="3"/>
      <c r="C193" s="2"/>
      <c r="D193" s="2"/>
      <c r="E193" s="2"/>
      <c r="F193" s="2"/>
      <c r="G193" s="2"/>
    </row>
    <row r="194" spans="1:7">
      <c r="A194" s="2"/>
      <c r="B194" s="3"/>
      <c r="C194" s="2"/>
      <c r="D194" s="2"/>
      <c r="E194" s="2"/>
      <c r="F194" s="2"/>
      <c r="G194" s="2"/>
    </row>
    <row r="195" spans="1:7">
      <c r="A195" s="2"/>
      <c r="B195" s="3"/>
      <c r="C195" s="2"/>
      <c r="D195" s="2"/>
      <c r="E195" s="2"/>
      <c r="F195" s="2"/>
      <c r="G195" s="2"/>
    </row>
    <row r="196" spans="1:7">
      <c r="A196" s="2"/>
      <c r="B196" s="3"/>
      <c r="C196" s="2"/>
      <c r="D196" s="2"/>
      <c r="E196" s="2"/>
      <c r="F196" s="2"/>
      <c r="G196" s="2"/>
    </row>
    <row r="197" spans="1:7">
      <c r="A197" s="2"/>
      <c r="B197" s="3"/>
      <c r="C197" s="2"/>
      <c r="D197" s="2"/>
      <c r="E197" s="2"/>
      <c r="F197" s="2"/>
      <c r="G197" s="2"/>
    </row>
    <row r="198" spans="1:7">
      <c r="A198" s="2"/>
      <c r="B198" s="3"/>
      <c r="C198" s="2"/>
      <c r="D198" s="2"/>
      <c r="E198" s="2"/>
      <c r="F198" s="2"/>
      <c r="G198" s="2"/>
    </row>
    <row r="199" spans="1:7">
      <c r="A199" s="2"/>
      <c r="B199" s="3"/>
      <c r="C199" s="2"/>
      <c r="D199" s="2"/>
      <c r="E199" s="2"/>
      <c r="F199" s="2"/>
      <c r="G199" s="2"/>
    </row>
    <row r="200" spans="1:7">
      <c r="A200" s="2"/>
      <c r="B200" s="3"/>
      <c r="C200" s="2"/>
      <c r="D200" s="2"/>
      <c r="E200" s="2"/>
      <c r="F200" s="2"/>
      <c r="G200" s="2"/>
    </row>
    <row r="201" spans="1:7">
      <c r="A201" s="2"/>
      <c r="B201" s="3"/>
      <c r="C201" s="2"/>
      <c r="D201" s="2"/>
      <c r="E201" s="2"/>
      <c r="F201" s="2"/>
      <c r="G201" s="2"/>
    </row>
    <row r="202" spans="1:7">
      <c r="A202" s="2"/>
      <c r="B202" s="3"/>
      <c r="C202" s="2"/>
      <c r="D202" s="2"/>
      <c r="E202" s="2"/>
      <c r="F202" s="2"/>
      <c r="G202" s="2"/>
    </row>
    <row r="203" spans="1:7">
      <c r="A203" s="2"/>
      <c r="B203" s="3"/>
      <c r="C203" s="2"/>
      <c r="D203" s="2"/>
      <c r="E203" s="2"/>
      <c r="F203" s="2"/>
      <c r="G203" s="2"/>
    </row>
    <row r="204" spans="1:7">
      <c r="A204" s="2"/>
      <c r="B204" s="3"/>
      <c r="C204" s="2"/>
      <c r="D204" s="2"/>
      <c r="E204" s="2"/>
      <c r="F204" s="2"/>
      <c r="G204" s="2"/>
    </row>
    <row r="205" spans="1:7">
      <c r="A205" s="2"/>
      <c r="B205" s="3"/>
      <c r="C205" s="2"/>
      <c r="D205" s="2"/>
      <c r="E205" s="2"/>
      <c r="F205" s="2"/>
      <c r="G205" s="2"/>
    </row>
    <row r="206" spans="1:7">
      <c r="A206" s="2"/>
      <c r="B206" s="3"/>
      <c r="C206" s="2"/>
      <c r="D206" s="2"/>
      <c r="E206" s="2"/>
      <c r="F206" s="2"/>
      <c r="G206" s="2"/>
    </row>
    <row r="207" spans="1:7">
      <c r="A207" s="2"/>
      <c r="B207" s="3"/>
      <c r="C207" s="2"/>
      <c r="D207" s="2"/>
      <c r="E207" s="2"/>
      <c r="F207" s="2"/>
      <c r="G207" s="2"/>
    </row>
    <row r="208" spans="1:7">
      <c r="A208" s="2"/>
      <c r="B208" s="3"/>
      <c r="C208" s="2"/>
      <c r="D208" s="2"/>
      <c r="E208" s="2"/>
      <c r="F208" s="2"/>
      <c r="G208" s="2"/>
    </row>
    <row r="209" spans="1:7">
      <c r="A209" s="2"/>
      <c r="B209" s="3"/>
      <c r="C209" s="2"/>
      <c r="D209" s="2"/>
      <c r="E209" s="2"/>
      <c r="F209" s="2"/>
      <c r="G209" s="2"/>
    </row>
    <row r="210" spans="1:7">
      <c r="A210" s="2"/>
      <c r="B210" s="3"/>
      <c r="C210" s="2"/>
      <c r="D210" s="2"/>
      <c r="E210" s="2"/>
      <c r="F210" s="2"/>
      <c r="G210" s="2"/>
    </row>
    <row r="211" spans="1:7">
      <c r="A211" s="2"/>
      <c r="B211" s="3"/>
      <c r="C211" s="2"/>
      <c r="D211" s="2"/>
      <c r="E211" s="2"/>
      <c r="F211" s="2"/>
      <c r="G211" s="2"/>
    </row>
    <row r="212" spans="1:7">
      <c r="A212" s="2"/>
      <c r="B212" s="3"/>
      <c r="C212" s="2"/>
      <c r="D212" s="2"/>
      <c r="E212" s="2"/>
      <c r="F212" s="2"/>
      <c r="G212" s="2"/>
    </row>
    <row r="213" spans="1:7">
      <c r="A213" s="2"/>
      <c r="B213" s="3"/>
      <c r="C213" s="2"/>
      <c r="D213" s="2"/>
      <c r="E213" s="2"/>
      <c r="F213" s="2"/>
      <c r="G213" s="2"/>
    </row>
    <row r="214" spans="1:7">
      <c r="A214" s="2"/>
      <c r="B214" s="3"/>
      <c r="C214" s="2"/>
      <c r="D214" s="2"/>
      <c r="E214" s="2"/>
      <c r="F214" s="2"/>
      <c r="G214" s="2"/>
    </row>
    <row r="215" spans="1:7">
      <c r="A215" s="2"/>
      <c r="B215" s="3"/>
      <c r="C215" s="2"/>
      <c r="D215" s="2"/>
      <c r="E215" s="2"/>
      <c r="F215" s="2"/>
      <c r="G215" s="2"/>
    </row>
    <row r="216" spans="1:7">
      <c r="A216" s="2"/>
      <c r="B216" s="3"/>
      <c r="C216" s="2"/>
      <c r="D216" s="2"/>
      <c r="E216" s="2"/>
      <c r="F216" s="2"/>
      <c r="G216" s="2"/>
    </row>
    <row r="217" spans="1:7">
      <c r="A217" s="2"/>
      <c r="B217" s="3"/>
      <c r="C217" s="2"/>
      <c r="D217" s="2"/>
      <c r="E217" s="2"/>
      <c r="F217" s="2"/>
      <c r="G217" s="2"/>
    </row>
    <row r="218" spans="1:7">
      <c r="A218" s="2"/>
      <c r="B218" s="3"/>
      <c r="C218" s="2"/>
      <c r="D218" s="2"/>
      <c r="E218" s="2"/>
      <c r="F218" s="2"/>
      <c r="G218" s="2"/>
    </row>
    <row r="219" spans="1:7">
      <c r="A219" s="2"/>
      <c r="B219" s="3"/>
      <c r="C219" s="2"/>
      <c r="D219" s="2"/>
      <c r="E219" s="2"/>
      <c r="F219" s="2"/>
      <c r="G219" s="2"/>
    </row>
    <row r="220" spans="1:7">
      <c r="A220" s="2"/>
      <c r="B220" s="3"/>
      <c r="C220" s="2"/>
      <c r="D220" s="2"/>
      <c r="E220" s="2"/>
      <c r="F220" s="2"/>
      <c r="G220" s="2"/>
    </row>
    <row r="221" spans="1:7">
      <c r="A221" s="2"/>
      <c r="B221" s="3"/>
      <c r="C221" s="2"/>
      <c r="D221" s="2"/>
      <c r="E221" s="2"/>
      <c r="F221" s="2"/>
      <c r="G221" s="2"/>
    </row>
    <row r="222" spans="1:7">
      <c r="A222" s="2"/>
      <c r="B222" s="3"/>
      <c r="C222" s="2"/>
      <c r="D222" s="2"/>
      <c r="E222" s="2"/>
      <c r="F222" s="2"/>
      <c r="G222" s="2"/>
    </row>
    <row r="223" spans="1:7">
      <c r="A223" s="2"/>
      <c r="B223" s="3"/>
      <c r="C223" s="2"/>
      <c r="D223" s="2"/>
      <c r="E223" s="2"/>
      <c r="F223" s="2"/>
      <c r="G223" s="2"/>
    </row>
    <row r="224" spans="1:7">
      <c r="A224" s="2"/>
      <c r="B224" s="3"/>
      <c r="C224" s="2"/>
      <c r="D224" s="2"/>
      <c r="E224" s="2"/>
      <c r="F224" s="2"/>
      <c r="G224" s="2"/>
    </row>
    <row r="225" spans="1:7">
      <c r="A225" s="2"/>
      <c r="B225" s="3"/>
      <c r="C225" s="2"/>
      <c r="D225" s="2"/>
      <c r="E225" s="2"/>
      <c r="F225" s="2"/>
      <c r="G225" s="2"/>
    </row>
    <row r="226" spans="1:7">
      <c r="A226" s="2"/>
      <c r="B226" s="3"/>
      <c r="C226" s="2"/>
      <c r="D226" s="2"/>
      <c r="E226" s="2"/>
      <c r="F226" s="2"/>
      <c r="G226" s="2"/>
    </row>
    <row r="227" spans="1:7">
      <c r="A227" s="2"/>
      <c r="B227" s="3"/>
      <c r="C227" s="2"/>
      <c r="D227" s="2"/>
      <c r="E227" s="2"/>
      <c r="F227" s="2"/>
      <c r="G227" s="2"/>
    </row>
    <row r="228" spans="1:7">
      <c r="A228" s="2"/>
      <c r="B228" s="3"/>
      <c r="C228" s="2"/>
      <c r="D228" s="2"/>
      <c r="E228" s="2"/>
      <c r="F228" s="2"/>
      <c r="G228" s="2"/>
    </row>
    <row r="229" spans="1:7">
      <c r="A229" s="2"/>
      <c r="B229" s="3"/>
      <c r="C229" s="2"/>
      <c r="D229" s="2"/>
      <c r="E229" s="2"/>
      <c r="F229" s="2"/>
      <c r="G229" s="2"/>
    </row>
    <row r="230" spans="1:7">
      <c r="A230" s="2"/>
      <c r="B230" s="3"/>
      <c r="C230" s="2"/>
      <c r="D230" s="2"/>
      <c r="E230" s="2"/>
      <c r="F230" s="2"/>
      <c r="G230" s="2"/>
    </row>
    <row r="231" spans="1:7">
      <c r="A231" s="2"/>
      <c r="B231" s="3"/>
      <c r="C231" s="2"/>
      <c r="D231" s="2"/>
      <c r="E231" s="2"/>
      <c r="F231" s="2"/>
      <c r="G231" s="2"/>
    </row>
    <row r="232" spans="1:7">
      <c r="A232" s="2"/>
      <c r="B232" s="3"/>
      <c r="C232" s="2"/>
      <c r="D232" s="2"/>
      <c r="E232" s="2"/>
      <c r="F232" s="2"/>
      <c r="G232" s="2"/>
    </row>
    <row r="233" spans="1:7">
      <c r="A233" s="2"/>
      <c r="B233" s="3"/>
      <c r="C233" s="2"/>
      <c r="D233" s="2"/>
      <c r="E233" s="2"/>
      <c r="F233" s="2"/>
      <c r="G233" s="2"/>
    </row>
    <row r="234" spans="1:7">
      <c r="A234" s="2"/>
      <c r="B234" s="3"/>
      <c r="C234" s="2"/>
      <c r="D234" s="2"/>
      <c r="E234" s="2"/>
      <c r="F234" s="2"/>
      <c r="G234" s="2"/>
    </row>
    <row r="235" spans="1:7">
      <c r="A235" s="2"/>
      <c r="B235" s="3"/>
      <c r="C235" s="2"/>
      <c r="D235" s="2"/>
      <c r="E235" s="2"/>
      <c r="F235" s="2"/>
      <c r="G235" s="2"/>
    </row>
    <row r="236" spans="1:7">
      <c r="A236" s="2"/>
      <c r="B236" s="3"/>
      <c r="C236" s="2"/>
      <c r="D236" s="2"/>
      <c r="E236" s="2"/>
      <c r="F236" s="2"/>
      <c r="G236" s="2"/>
    </row>
    <row r="237" spans="1:7">
      <c r="A237" s="2"/>
      <c r="B237" s="3"/>
      <c r="C237" s="2"/>
      <c r="D237" s="2"/>
      <c r="E237" s="2"/>
      <c r="F237" s="2"/>
      <c r="G237" s="2"/>
    </row>
    <row r="238" spans="1:7">
      <c r="A238" s="2"/>
      <c r="B238" s="3"/>
      <c r="C238" s="2"/>
      <c r="D238" s="2"/>
      <c r="E238" s="2"/>
      <c r="F238" s="2"/>
      <c r="G238" s="2"/>
    </row>
    <row r="239" spans="1:7">
      <c r="A239" s="2"/>
      <c r="B239" s="3"/>
      <c r="C239" s="2"/>
      <c r="D239" s="2"/>
      <c r="E239" s="2"/>
      <c r="F239" s="2"/>
      <c r="G239" s="2"/>
    </row>
    <row r="240" spans="1:7">
      <c r="A240" s="2"/>
      <c r="B240" s="3"/>
      <c r="C240" s="2"/>
      <c r="D240" s="2"/>
      <c r="E240" s="2"/>
      <c r="F240" s="2"/>
      <c r="G240" s="2"/>
    </row>
    <row r="241" spans="1:7">
      <c r="A241" s="2"/>
      <c r="B241" s="3"/>
      <c r="C241" s="2"/>
      <c r="D241" s="2"/>
      <c r="E241" s="2"/>
      <c r="F241" s="2"/>
      <c r="G241" s="2"/>
    </row>
    <row r="242" spans="1:7">
      <c r="A242" s="2"/>
      <c r="B242" s="3"/>
      <c r="C242" s="2"/>
      <c r="D242" s="2"/>
      <c r="E242" s="2"/>
      <c r="F242" s="2"/>
      <c r="G242" s="2"/>
    </row>
    <row r="243" spans="1:7">
      <c r="A243" s="2"/>
      <c r="B243" s="3"/>
      <c r="C243" s="2"/>
      <c r="D243" s="2"/>
      <c r="E243" s="2"/>
      <c r="F243" s="2"/>
      <c r="G243" s="2"/>
    </row>
    <row r="244" spans="1:7">
      <c r="A244" s="2"/>
      <c r="B244" s="3"/>
      <c r="C244" s="2"/>
      <c r="D244" s="2"/>
      <c r="E244" s="2"/>
      <c r="F244" s="2"/>
      <c r="G244" s="2"/>
    </row>
    <row r="245" spans="1:7">
      <c r="A245" s="2"/>
      <c r="B245" s="3"/>
      <c r="C245" s="2"/>
      <c r="D245" s="2"/>
      <c r="E245" s="2"/>
      <c r="F245" s="2"/>
      <c r="G245" s="2"/>
    </row>
    <row r="246" spans="1:7">
      <c r="A246" s="2"/>
      <c r="B246" s="3"/>
      <c r="C246" s="2"/>
      <c r="D246" s="2"/>
      <c r="E246" s="2"/>
      <c r="F246" s="2"/>
      <c r="G246" s="2"/>
    </row>
    <row r="247" spans="1:7">
      <c r="A247" s="2"/>
      <c r="B247" s="3"/>
      <c r="C247" s="2"/>
      <c r="D247" s="2"/>
      <c r="E247" s="2"/>
      <c r="F247" s="2"/>
      <c r="G247" s="2"/>
    </row>
    <row r="248" spans="1:7">
      <c r="A248" s="2"/>
      <c r="B248" s="3"/>
      <c r="C248" s="2"/>
      <c r="D248" s="2"/>
      <c r="E248" s="2"/>
      <c r="F248" s="2"/>
      <c r="G248" s="2"/>
    </row>
    <row r="249" spans="1:7">
      <c r="A249" s="2"/>
      <c r="B249" s="3"/>
      <c r="C249" s="2"/>
      <c r="D249" s="2"/>
      <c r="E249" s="2"/>
      <c r="F249" s="2"/>
      <c r="G249" s="2"/>
    </row>
    <row r="250" spans="1:7">
      <c r="A250" s="2"/>
      <c r="B250" s="3"/>
      <c r="C250" s="2"/>
      <c r="D250" s="2"/>
      <c r="E250" s="2"/>
      <c r="F250" s="2"/>
      <c r="G250" s="2"/>
    </row>
    <row r="251" spans="1:7">
      <c r="A251" s="2"/>
      <c r="B251" s="3"/>
      <c r="C251" s="2"/>
      <c r="D251" s="2"/>
      <c r="E251" s="2"/>
      <c r="F251" s="2"/>
      <c r="G251" s="2"/>
    </row>
    <row r="252" spans="1:7">
      <c r="A252" s="2"/>
      <c r="B252" s="3"/>
      <c r="C252" s="2"/>
      <c r="D252" s="2"/>
      <c r="E252" s="2"/>
      <c r="F252" s="2"/>
      <c r="G252" s="2"/>
    </row>
    <row r="253" spans="1:7">
      <c r="A253" s="2"/>
      <c r="B253" s="3"/>
      <c r="C253" s="2"/>
      <c r="D253" s="2"/>
      <c r="E253" s="2"/>
      <c r="F253" s="2"/>
      <c r="G253" s="2"/>
    </row>
    <row r="254" spans="1:7">
      <c r="A254" s="2"/>
      <c r="B254" s="3"/>
      <c r="C254" s="2"/>
      <c r="D254" s="2"/>
      <c r="E254" s="2"/>
      <c r="F254" s="2"/>
      <c r="G254" s="2"/>
    </row>
    <row r="255" spans="1:7">
      <c r="A255" s="2"/>
      <c r="B255" s="3"/>
      <c r="C255" s="2"/>
      <c r="D255" s="2"/>
      <c r="E255" s="2"/>
      <c r="F255" s="2"/>
      <c r="G255" s="2"/>
    </row>
    <row r="256" spans="1:7">
      <c r="A256" s="2"/>
      <c r="B256" s="3"/>
      <c r="C256" s="2"/>
      <c r="D256" s="2"/>
      <c r="E256" s="2"/>
      <c r="F256" s="2"/>
      <c r="G256" s="2"/>
    </row>
    <row r="257" spans="1:7">
      <c r="A257" s="2"/>
      <c r="B257" s="3"/>
      <c r="C257" s="2"/>
      <c r="D257" s="2"/>
      <c r="E257" s="2"/>
      <c r="F257" s="2"/>
      <c r="G257" s="2"/>
    </row>
    <row r="258" spans="1:7">
      <c r="A258" s="2"/>
      <c r="B258" s="3"/>
      <c r="C258" s="2"/>
      <c r="D258" s="2"/>
      <c r="E258" s="2"/>
      <c r="F258" s="2"/>
      <c r="G258" s="2"/>
    </row>
    <row r="259" spans="1:7">
      <c r="A259" s="2"/>
      <c r="B259" s="3"/>
      <c r="C259" s="2"/>
      <c r="D259" s="2"/>
      <c r="E259" s="2"/>
      <c r="F259" s="2"/>
      <c r="G259" s="2"/>
    </row>
    <row r="260" spans="1:7">
      <c r="A260" s="2"/>
      <c r="B260" s="3"/>
      <c r="C260" s="2"/>
      <c r="D260" s="2"/>
      <c r="E260" s="2"/>
      <c r="F260" s="2"/>
      <c r="G260" s="2"/>
    </row>
    <row r="261" spans="1:7">
      <c r="A261" s="2"/>
      <c r="B261" s="3"/>
      <c r="C261" s="2"/>
      <c r="D261" s="2"/>
      <c r="E261" s="2"/>
      <c r="F261" s="2"/>
      <c r="G261" s="2"/>
    </row>
    <row r="262" spans="1:7">
      <c r="A262" s="2"/>
      <c r="B262" s="3"/>
      <c r="C262" s="2"/>
      <c r="D262" s="2"/>
      <c r="E262" s="2"/>
      <c r="F262" s="2"/>
      <c r="G262" s="2"/>
    </row>
    <row r="263" spans="1:7">
      <c r="A263" s="2"/>
      <c r="B263" s="3"/>
      <c r="C263" s="2"/>
      <c r="D263" s="2"/>
      <c r="E263" s="2"/>
      <c r="F263" s="2"/>
      <c r="G263" s="2"/>
    </row>
    <row r="264" spans="1:7">
      <c r="A264" s="2"/>
      <c r="B264" s="2"/>
      <c r="C264" s="2"/>
      <c r="D264" s="2"/>
      <c r="E264" s="2"/>
      <c r="F264" s="2"/>
      <c r="G264" s="2"/>
    </row>
    <row r="265" spans="1:7">
      <c r="A265" s="2"/>
      <c r="B265" s="2"/>
      <c r="C265" s="2"/>
      <c r="D265" s="2"/>
      <c r="E265" s="2"/>
      <c r="F265" s="2"/>
      <c r="G265" s="2"/>
    </row>
    <row r="266" spans="1:7">
      <c r="A266" s="2"/>
      <c r="B266" s="2"/>
      <c r="C266" s="2"/>
      <c r="D266" s="2"/>
      <c r="E266" s="2"/>
      <c r="F266" s="2"/>
      <c r="G266" s="2"/>
    </row>
    <row r="267" spans="1:7">
      <c r="A267" s="2"/>
      <c r="B267" s="2"/>
      <c r="C267" s="2"/>
      <c r="D267" s="2"/>
      <c r="E267" s="2"/>
      <c r="F267" s="2"/>
      <c r="G267" s="2"/>
    </row>
    <row r="268" spans="1:7">
      <c r="A268" s="2"/>
      <c r="B268" s="2"/>
      <c r="C268" s="2"/>
      <c r="D268" s="2"/>
      <c r="E268" s="2"/>
      <c r="F268" s="2"/>
      <c r="G268" s="2"/>
    </row>
    <row r="269" spans="1:7">
      <c r="A269" s="2"/>
      <c r="B269" s="2"/>
      <c r="C269" s="2"/>
      <c r="D269" s="2"/>
      <c r="E269" s="2"/>
      <c r="F269" s="2"/>
      <c r="G269" s="2"/>
    </row>
    <row r="270" spans="1:7">
      <c r="A270" s="2"/>
      <c r="B270" s="2"/>
      <c r="C270" s="2"/>
      <c r="D270" s="2"/>
      <c r="E270" s="2"/>
      <c r="F270" s="2"/>
      <c r="G270" s="2"/>
    </row>
    <row r="271" spans="1:7">
      <c r="A271" s="2"/>
      <c r="B271" s="2"/>
      <c r="C271" s="2"/>
      <c r="D271" s="2"/>
      <c r="E271" s="2"/>
      <c r="F271" s="2"/>
      <c r="G271" s="2"/>
    </row>
    <row r="272" spans="1:7">
      <c r="A272" s="2"/>
      <c r="B272" s="2"/>
      <c r="C272" s="2"/>
      <c r="D272" s="2"/>
      <c r="E272" s="2"/>
      <c r="F272" s="2"/>
      <c r="G272" s="2"/>
    </row>
    <row r="273" spans="1:7">
      <c r="A273" s="2"/>
      <c r="B273" s="2"/>
      <c r="C273" s="2"/>
      <c r="D273" s="2"/>
      <c r="E273" s="2"/>
      <c r="F273" s="2"/>
      <c r="G273" s="2"/>
    </row>
    <row r="274" spans="1:7">
      <c r="A274" s="2"/>
      <c r="B274" s="2"/>
      <c r="C274" s="2"/>
      <c r="D274" s="2"/>
      <c r="E274" s="2"/>
      <c r="F274" s="2"/>
      <c r="G274" s="2"/>
    </row>
    <row r="275" spans="1:7">
      <c r="A275" s="2"/>
      <c r="B275" s="2"/>
      <c r="C275" s="2"/>
      <c r="D275" s="2"/>
      <c r="E275" s="2"/>
      <c r="F275" s="2"/>
      <c r="G275" s="2"/>
    </row>
    <row r="276" spans="1:7">
      <c r="A276" s="2"/>
      <c r="B276" s="2"/>
      <c r="C276" s="2"/>
      <c r="D276" s="2"/>
      <c r="E276" s="2"/>
      <c r="F276" s="2"/>
      <c r="G276" s="2"/>
    </row>
    <row r="277" spans="1:7">
      <c r="A277" s="2"/>
      <c r="B277" s="2"/>
      <c r="C277" s="2"/>
      <c r="D277" s="2"/>
      <c r="E277" s="2"/>
      <c r="F277" s="2"/>
      <c r="G277" s="2"/>
    </row>
    <row r="278" spans="1:7">
      <c r="A278" s="2"/>
      <c r="B278" s="2"/>
      <c r="C278" s="2"/>
      <c r="D278" s="2"/>
      <c r="E278" s="2"/>
      <c r="F278" s="2"/>
      <c r="G278" s="2"/>
    </row>
    <row r="279" spans="1:7">
      <c r="A279" s="2"/>
      <c r="B279" s="2"/>
      <c r="C279" s="2"/>
      <c r="D279" s="2"/>
      <c r="E279" s="2"/>
      <c r="F279" s="2"/>
      <c r="G279" s="2"/>
    </row>
    <row r="280" spans="1:7">
      <c r="A280" s="2"/>
      <c r="B280" s="2"/>
      <c r="C280" s="2"/>
      <c r="D280" s="2"/>
      <c r="E280" s="2"/>
      <c r="F280" s="2"/>
      <c r="G280" s="2"/>
    </row>
    <row r="281" spans="1:7">
      <c r="A281" s="2"/>
      <c r="B281" s="2"/>
      <c r="C281" s="2"/>
      <c r="D281" s="2"/>
      <c r="E281" s="2"/>
      <c r="F281" s="2"/>
      <c r="G281" s="2"/>
    </row>
    <row r="282" spans="1:7">
      <c r="A282" s="2"/>
      <c r="B282" s="2"/>
      <c r="C282" s="2"/>
      <c r="D282" s="2"/>
      <c r="E282" s="2"/>
      <c r="F282" s="2"/>
      <c r="G282" s="2"/>
    </row>
    <row r="283" spans="1:7">
      <c r="A283" s="2"/>
      <c r="B283" s="2"/>
      <c r="C283" s="2"/>
      <c r="D283" s="2"/>
      <c r="E283" s="2"/>
      <c r="F283" s="2"/>
      <c r="G283" s="2"/>
    </row>
    <row r="284" spans="1:7">
      <c r="A284" s="2"/>
      <c r="B284" s="2"/>
      <c r="C284" s="2"/>
      <c r="D284" s="2"/>
      <c r="E284" s="2"/>
      <c r="F284" s="2"/>
      <c r="G284" s="2"/>
    </row>
    <row r="285" spans="1:7">
      <c r="A285" s="2"/>
      <c r="B285" s="2"/>
      <c r="C285" s="2"/>
      <c r="D285" s="2"/>
      <c r="E285" s="2"/>
      <c r="F285" s="2"/>
      <c r="G285" s="2"/>
    </row>
    <row r="286" spans="1:7">
      <c r="A286" s="2"/>
      <c r="B286" s="2"/>
      <c r="C286" s="2"/>
      <c r="D286" s="2"/>
      <c r="E286" s="2"/>
      <c r="F286" s="2"/>
      <c r="G286" s="2"/>
    </row>
    <row r="287" spans="1:7">
      <c r="A287" s="2"/>
      <c r="B287" s="2"/>
      <c r="C287" s="2"/>
      <c r="D287" s="2"/>
      <c r="E287" s="2"/>
      <c r="F287" s="2"/>
      <c r="G287" s="2"/>
    </row>
    <row r="288" spans="1:7">
      <c r="A288" s="2"/>
      <c r="B288" s="2"/>
      <c r="C288" s="2"/>
      <c r="D288" s="2"/>
      <c r="E288" s="2"/>
      <c r="F288" s="2"/>
      <c r="G288" s="2"/>
    </row>
    <row r="289" spans="1:7">
      <c r="A289" s="2"/>
      <c r="B289" s="2"/>
      <c r="C289" s="2"/>
      <c r="D289" s="2"/>
      <c r="E289" s="2"/>
      <c r="F289" s="2"/>
      <c r="G289" s="2"/>
    </row>
    <row r="290" spans="1:7">
      <c r="A290" s="2"/>
      <c r="B290" s="2"/>
      <c r="C290" s="2"/>
      <c r="D290" s="2"/>
      <c r="E290" s="2"/>
      <c r="F290" s="2"/>
      <c r="G290" s="2"/>
    </row>
    <row r="291" spans="1:7">
      <c r="A291" s="2"/>
      <c r="B291" s="2"/>
      <c r="C291" s="2"/>
      <c r="D291" s="2"/>
      <c r="E291" s="2"/>
      <c r="F291" s="2"/>
      <c r="G291" s="2"/>
    </row>
    <row r="292" spans="1:7">
      <c r="A292" s="2"/>
      <c r="B292" s="2"/>
      <c r="C292" s="2"/>
      <c r="D292" s="2"/>
      <c r="E292" s="2"/>
      <c r="F292" s="2"/>
      <c r="G292" s="2"/>
    </row>
    <row r="293" spans="1:7">
      <c r="A293" s="2"/>
      <c r="B293" s="2"/>
      <c r="C293" s="2"/>
      <c r="D293" s="2"/>
      <c r="E293" s="2"/>
      <c r="F293" s="2"/>
      <c r="G293" s="2"/>
    </row>
    <row r="294" spans="1:7">
      <c r="A294" s="2"/>
      <c r="B294" s="2"/>
      <c r="C294" s="2"/>
      <c r="D294" s="2"/>
      <c r="E294" s="2"/>
      <c r="F294" s="2"/>
      <c r="G294" s="2"/>
    </row>
    <row r="295" spans="1:7">
      <c r="A295" s="2"/>
      <c r="B295" s="2"/>
      <c r="C295" s="2"/>
      <c r="D295" s="2"/>
      <c r="E295" s="2"/>
      <c r="F295" s="2"/>
      <c r="G295" s="2"/>
    </row>
    <row r="296" spans="1:7">
      <c r="A296" s="2"/>
      <c r="B296" s="2"/>
      <c r="C296" s="2"/>
      <c r="D296" s="2"/>
      <c r="E296" s="2"/>
      <c r="F296" s="2"/>
      <c r="G296" s="2"/>
    </row>
    <row r="297" spans="1:7">
      <c r="A297" s="2"/>
      <c r="B297" s="2"/>
      <c r="C297" s="2"/>
      <c r="D297" s="2"/>
      <c r="E297" s="2"/>
      <c r="F297" s="2"/>
      <c r="G297" s="2"/>
    </row>
    <row r="298" spans="1:7">
      <c r="A298" s="2"/>
      <c r="B298" s="2"/>
      <c r="C298" s="2"/>
      <c r="D298" s="2"/>
      <c r="E298" s="2"/>
      <c r="F298" s="2"/>
      <c r="G298" s="2"/>
    </row>
    <row r="299" spans="1:7">
      <c r="A299" s="2"/>
      <c r="B299" s="2"/>
      <c r="C299" s="2"/>
      <c r="D299" s="2"/>
      <c r="E299" s="2"/>
      <c r="F299" s="2"/>
      <c r="G299" s="2"/>
    </row>
    <row r="300" spans="1:7">
      <c r="A300" s="2"/>
      <c r="B300" s="2"/>
      <c r="C300" s="2"/>
      <c r="D300" s="2"/>
      <c r="E300" s="2"/>
      <c r="F300" s="2"/>
      <c r="G300" s="2"/>
    </row>
    <row r="301" spans="1:7">
      <c r="A301" s="2"/>
      <c r="B301" s="2"/>
      <c r="C301" s="2"/>
      <c r="D301" s="2"/>
      <c r="E301" s="2"/>
      <c r="F301" s="2"/>
      <c r="G301" s="2"/>
    </row>
    <row r="302" spans="1:7">
      <c r="A302" s="2"/>
      <c r="B302" s="2"/>
      <c r="C302" s="2"/>
      <c r="D302" s="2"/>
      <c r="E302" s="2"/>
      <c r="F302" s="2"/>
      <c r="G302" s="2"/>
    </row>
    <row r="303" spans="1:7">
      <c r="A303" s="2"/>
      <c r="B303" s="2"/>
      <c r="C303" s="2"/>
      <c r="D303" s="2"/>
      <c r="E303" s="2"/>
      <c r="F303" s="2"/>
      <c r="G303" s="2"/>
    </row>
    <row r="304" spans="1:7">
      <c r="A304" s="2"/>
      <c r="B304" s="2"/>
      <c r="C304" s="2"/>
      <c r="D304" s="2"/>
      <c r="E304" s="2"/>
      <c r="F304" s="2"/>
      <c r="G304" s="2"/>
    </row>
    <row r="305" spans="1:7">
      <c r="A305" s="2"/>
      <c r="B305" s="2"/>
      <c r="C305" s="2"/>
      <c r="D305" s="2"/>
      <c r="E305" s="2"/>
      <c r="F305" s="2"/>
      <c r="G305" s="2"/>
    </row>
    <row r="306" spans="1:7">
      <c r="A306" s="2"/>
      <c r="B306" s="2"/>
      <c r="C306" s="2"/>
      <c r="D306" s="2"/>
      <c r="E306" s="2"/>
      <c r="F306" s="2"/>
      <c r="G306" s="2"/>
    </row>
    <row r="307" spans="1:7">
      <c r="A307" s="2"/>
      <c r="B307" s="2"/>
      <c r="C307" s="2"/>
      <c r="D307" s="2"/>
      <c r="E307" s="2"/>
      <c r="F307" s="2"/>
      <c r="G307" s="2"/>
    </row>
    <row r="308" spans="1:7">
      <c r="A308" s="2"/>
      <c r="B308" s="2"/>
      <c r="C308" s="2"/>
      <c r="D308" s="2"/>
      <c r="E308" s="2"/>
      <c r="F308" s="2"/>
      <c r="G308" s="2"/>
    </row>
    <row r="309" spans="1:7">
      <c r="A309" s="2"/>
      <c r="B309" s="2"/>
      <c r="C309" s="2"/>
      <c r="D309" s="2"/>
      <c r="E309" s="2"/>
      <c r="F309" s="2"/>
      <c r="G309" s="2"/>
    </row>
    <row r="310" spans="1:7">
      <c r="A310" s="2"/>
      <c r="B310" s="2"/>
      <c r="C310" s="2"/>
      <c r="D310" s="2"/>
      <c r="E310" s="2"/>
      <c r="F310" s="2"/>
      <c r="G310" s="2"/>
    </row>
    <row r="311" spans="1:7">
      <c r="A311" s="2"/>
      <c r="B311" s="2"/>
      <c r="C311" s="2"/>
      <c r="D311" s="2"/>
      <c r="E311" s="2"/>
      <c r="F311" s="2"/>
      <c r="G311" s="2"/>
    </row>
    <row r="312" spans="1:7">
      <c r="A312" s="2"/>
      <c r="B312" s="2"/>
      <c r="C312" s="2"/>
      <c r="D312" s="2"/>
      <c r="E312" s="2"/>
      <c r="F312" s="2"/>
      <c r="G312" s="2"/>
    </row>
    <row r="313" spans="1:7">
      <c r="A313" s="2"/>
      <c r="B313" s="2"/>
      <c r="C313" s="2"/>
      <c r="D313" s="2"/>
      <c r="E313" s="2"/>
      <c r="F313" s="2"/>
      <c r="G313" s="2"/>
    </row>
    <row r="314" spans="1:7">
      <c r="A314" s="2"/>
      <c r="B314" s="2"/>
      <c r="C314" s="2"/>
      <c r="D314" s="2"/>
      <c r="E314" s="2"/>
      <c r="F314" s="2"/>
      <c r="G314" s="2"/>
    </row>
    <row r="315" spans="1:7">
      <c r="A315" s="2"/>
      <c r="B315" s="2"/>
      <c r="C315" s="2"/>
      <c r="D315" s="2"/>
      <c r="E315" s="2"/>
      <c r="F315" s="2"/>
      <c r="G315" s="2"/>
    </row>
    <row r="316" spans="1:7">
      <c r="A316" s="2"/>
      <c r="B316" s="2"/>
      <c r="C316" s="2"/>
      <c r="D316" s="2"/>
      <c r="E316" s="2"/>
      <c r="F316" s="2"/>
      <c r="G316" s="2"/>
    </row>
    <row r="317" spans="1:7">
      <c r="A317" s="2"/>
      <c r="B317" s="2"/>
      <c r="C317" s="2"/>
      <c r="D317" s="2"/>
      <c r="E317" s="2"/>
      <c r="F317" s="2"/>
      <c r="G317" s="2"/>
    </row>
    <row r="318" spans="1:7">
      <c r="A318" s="2"/>
      <c r="B318" s="2"/>
      <c r="C318" s="2"/>
      <c r="D318" s="2"/>
      <c r="E318" s="2"/>
      <c r="F318" s="2"/>
      <c r="G318" s="2"/>
    </row>
    <row r="319" spans="1:7">
      <c r="A319" s="2"/>
      <c r="B319" s="2"/>
      <c r="C319" s="2"/>
      <c r="D319" s="2"/>
      <c r="E319" s="2"/>
      <c r="F319" s="2"/>
      <c r="G319" s="2"/>
    </row>
    <row r="320" spans="1:7">
      <c r="A320" s="2"/>
      <c r="B320" s="2"/>
      <c r="C320" s="2"/>
      <c r="D320" s="2"/>
      <c r="E320" s="2"/>
      <c r="F320" s="2"/>
      <c r="G320" s="2"/>
    </row>
    <row r="321" spans="1:7">
      <c r="A321" s="2"/>
      <c r="B321" s="2"/>
      <c r="C321" s="2"/>
      <c r="D321" s="2"/>
      <c r="E321" s="2"/>
      <c r="F321" s="2"/>
      <c r="G321" s="2"/>
    </row>
    <row r="322" spans="1:7">
      <c r="A322" s="2"/>
      <c r="B322" s="2"/>
      <c r="C322" s="2"/>
      <c r="D322" s="2"/>
      <c r="E322" s="2"/>
      <c r="F322" s="2"/>
      <c r="G322" s="2"/>
    </row>
    <row r="323" spans="1:7">
      <c r="A323" s="2"/>
      <c r="B323" s="2"/>
      <c r="C323" s="2"/>
      <c r="D323" s="2"/>
      <c r="E323" s="2"/>
      <c r="F323" s="2"/>
      <c r="G323" s="2"/>
    </row>
    <row r="324" spans="1:7">
      <c r="A324" s="2"/>
      <c r="B324" s="2"/>
      <c r="C324" s="2"/>
      <c r="D324" s="2"/>
      <c r="E324" s="2"/>
      <c r="F324" s="2"/>
      <c r="G324" s="2"/>
    </row>
    <row r="325" spans="1:7">
      <c r="A325" s="2"/>
      <c r="B325" s="2"/>
      <c r="C325" s="2"/>
      <c r="D325" s="2"/>
      <c r="E325" s="2"/>
      <c r="F325" s="2"/>
      <c r="G325" s="2"/>
    </row>
    <row r="326" spans="1:7">
      <c r="A326" s="2"/>
      <c r="B326" s="2"/>
      <c r="C326" s="2"/>
      <c r="D326" s="2"/>
      <c r="E326" s="2"/>
      <c r="F326" s="2"/>
      <c r="G326" s="2"/>
    </row>
    <row r="327" spans="1:7">
      <c r="A327" s="2"/>
      <c r="B327" s="2"/>
      <c r="C327" s="2"/>
      <c r="D327" s="2"/>
      <c r="E327" s="2"/>
      <c r="F327" s="2"/>
      <c r="G327" s="2"/>
    </row>
    <row r="328" spans="1:7">
      <c r="A328" s="2"/>
      <c r="B328" s="2"/>
      <c r="C328" s="2"/>
      <c r="D328" s="2"/>
      <c r="E328" s="2"/>
      <c r="F328" s="2"/>
      <c r="G328" s="2"/>
    </row>
    <row r="329" spans="1:7">
      <c r="A329" s="2"/>
      <c r="B329" s="2"/>
      <c r="C329" s="2"/>
      <c r="D329" s="2"/>
      <c r="E329" s="2"/>
      <c r="F329" s="2"/>
      <c r="G329" s="2"/>
    </row>
    <row r="330" spans="1:7">
      <c r="A330" s="2"/>
      <c r="B330" s="2"/>
      <c r="C330" s="2"/>
      <c r="D330" s="2"/>
      <c r="E330" s="2"/>
      <c r="F330" s="2"/>
      <c r="G330" s="2"/>
    </row>
    <row r="331" spans="1:7">
      <c r="A331" s="2"/>
      <c r="B331" s="2"/>
      <c r="C331" s="2"/>
      <c r="D331" s="2"/>
      <c r="E331" s="2"/>
      <c r="F331" s="2"/>
      <c r="G331" s="2"/>
    </row>
    <row r="332" spans="1:7">
      <c r="A332" s="2"/>
      <c r="B332" s="2"/>
      <c r="C332" s="2"/>
      <c r="D332" s="2"/>
      <c r="E332" s="2"/>
      <c r="F332" s="2"/>
      <c r="G332" s="2"/>
    </row>
    <row r="333" spans="1:7">
      <c r="A333" s="2"/>
      <c r="B333" s="2"/>
      <c r="C333" s="2"/>
      <c r="D333" s="2"/>
      <c r="E333" s="2"/>
      <c r="F333" s="2"/>
      <c r="G333" s="2"/>
    </row>
    <row r="334" spans="1:7">
      <c r="A334" s="2"/>
      <c r="B334" s="2"/>
      <c r="C334" s="2"/>
      <c r="D334" s="2"/>
      <c r="E334" s="2"/>
      <c r="F334" s="2"/>
      <c r="G334" s="2"/>
    </row>
    <row r="335" spans="1:7">
      <c r="A335" s="2"/>
      <c r="B335" s="2"/>
      <c r="C335" s="2"/>
      <c r="D335" s="2"/>
      <c r="E335" s="2"/>
      <c r="F335" s="2"/>
      <c r="G335" s="2"/>
    </row>
    <row r="336" spans="1:7">
      <c r="A336" s="2"/>
      <c r="B336" s="2"/>
      <c r="C336" s="2"/>
      <c r="D336" s="2"/>
      <c r="E336" s="2"/>
      <c r="F336" s="2"/>
      <c r="G336" s="2"/>
    </row>
    <row r="337" spans="1:7">
      <c r="A337" s="2"/>
      <c r="B337" s="2"/>
      <c r="C337" s="2"/>
      <c r="D337" s="2"/>
      <c r="E337" s="2"/>
      <c r="F337" s="2"/>
      <c r="G337" s="2"/>
    </row>
    <row r="338" spans="1:7">
      <c r="A338" s="2"/>
      <c r="B338" s="2"/>
      <c r="C338" s="2"/>
      <c r="D338" s="2"/>
      <c r="E338" s="2"/>
      <c r="F338" s="2"/>
      <c r="G338" s="2"/>
    </row>
    <row r="339" spans="1:7">
      <c r="A339" s="2"/>
      <c r="B339" s="2"/>
      <c r="C339" s="2"/>
      <c r="D339" s="2"/>
      <c r="E339" s="2"/>
      <c r="F339" s="2"/>
      <c r="G339" s="2"/>
    </row>
    <row r="340" spans="1:7">
      <c r="A340" s="2"/>
      <c r="B340" s="2"/>
      <c r="C340" s="2"/>
      <c r="D340" s="2"/>
      <c r="E340" s="2"/>
      <c r="F340" s="2"/>
      <c r="G340" s="2"/>
    </row>
    <row r="341" spans="1:7">
      <c r="A341" s="2"/>
      <c r="B341" s="2"/>
      <c r="C341" s="2"/>
      <c r="D341" s="2"/>
      <c r="E341" s="2"/>
      <c r="F341" s="2"/>
      <c r="G341" s="2"/>
    </row>
    <row r="342" spans="1:7">
      <c r="A342" s="2"/>
      <c r="B342" s="2"/>
      <c r="C342" s="2"/>
      <c r="D342" s="2"/>
      <c r="E342" s="2"/>
      <c r="F342" s="2"/>
      <c r="G342" s="2"/>
    </row>
    <row r="343" spans="1:7">
      <c r="A343" s="2"/>
      <c r="B343" s="2"/>
      <c r="C343" s="2"/>
      <c r="D343" s="2"/>
      <c r="E343" s="2"/>
      <c r="F343" s="2"/>
      <c r="G343" s="2"/>
    </row>
    <row r="344" spans="1:7">
      <c r="A344" s="2"/>
      <c r="B344" s="2"/>
      <c r="C344" s="2"/>
      <c r="D344" s="2"/>
      <c r="E344" s="2"/>
      <c r="F344" s="2"/>
      <c r="G344" s="2"/>
    </row>
    <row r="345" spans="1:7">
      <c r="A345" s="2"/>
      <c r="B345" s="2"/>
      <c r="C345" s="2"/>
      <c r="D345" s="2"/>
      <c r="E345" s="2"/>
      <c r="F345" s="2"/>
      <c r="G345" s="2"/>
    </row>
    <row r="346" spans="1:7">
      <c r="A346" s="2"/>
      <c r="B346" s="2"/>
      <c r="C346" s="2"/>
      <c r="D346" s="2"/>
      <c r="E346" s="2"/>
      <c r="F346" s="2"/>
      <c r="G346" s="2"/>
    </row>
    <row r="347" spans="1:7">
      <c r="A347" s="2"/>
      <c r="B347" s="2"/>
      <c r="C347" s="2"/>
      <c r="D347" s="2"/>
      <c r="E347" s="2"/>
      <c r="F347" s="2"/>
      <c r="G347" s="2"/>
    </row>
    <row r="348" spans="1:7">
      <c r="A348" s="2"/>
      <c r="B348" s="2"/>
      <c r="C348" s="2"/>
      <c r="D348" s="2"/>
      <c r="E348" s="2"/>
      <c r="F348" s="2"/>
      <c r="G348" s="2"/>
    </row>
    <row r="349" spans="1:7">
      <c r="A349" s="2"/>
      <c r="B349" s="2"/>
      <c r="C349" s="2"/>
      <c r="D349" s="2"/>
      <c r="E349" s="2"/>
      <c r="F349" s="2"/>
      <c r="G349" s="2"/>
    </row>
    <row r="350" spans="1:7">
      <c r="A350" s="2"/>
      <c r="B350" s="2"/>
      <c r="C350" s="2"/>
      <c r="D350" s="2"/>
      <c r="E350" s="2"/>
      <c r="F350" s="2"/>
      <c r="G350" s="2"/>
    </row>
    <row r="351" spans="1:7">
      <c r="A351" s="2"/>
      <c r="B351" s="2"/>
      <c r="C351" s="2"/>
      <c r="D351" s="2"/>
      <c r="E351" s="2"/>
      <c r="F351" s="2"/>
      <c r="G351" s="2"/>
    </row>
    <row r="352" spans="1:7">
      <c r="A352" s="2"/>
      <c r="B352" s="2"/>
      <c r="C352" s="2"/>
      <c r="D352" s="2"/>
      <c r="E352" s="2"/>
      <c r="F352" s="2"/>
      <c r="G352" s="2"/>
    </row>
    <row r="353" spans="1:7">
      <c r="A353" s="2"/>
      <c r="B353" s="2"/>
      <c r="C353" s="2"/>
      <c r="D353" s="2"/>
      <c r="E353" s="2"/>
      <c r="F353" s="2"/>
      <c r="G353" s="2"/>
    </row>
    <row r="354" spans="1:7">
      <c r="A354" s="2"/>
      <c r="B354" s="2"/>
      <c r="C354" s="2"/>
      <c r="D354" s="2"/>
      <c r="E354" s="2"/>
      <c r="F354" s="2"/>
      <c r="G354" s="2"/>
    </row>
    <row r="355" spans="1:7">
      <c r="A355" s="2"/>
      <c r="B355" s="2"/>
      <c r="C355" s="2"/>
      <c r="D355" s="2"/>
      <c r="E355" s="2"/>
      <c r="F355" s="2"/>
      <c r="G355" s="2"/>
    </row>
    <row r="356" spans="1:7">
      <c r="A356" s="2"/>
      <c r="B356" s="2"/>
      <c r="C356" s="2"/>
      <c r="D356" s="2"/>
      <c r="E356" s="2"/>
      <c r="F356" s="2"/>
      <c r="G356" s="2"/>
    </row>
    <row r="357" spans="1:7">
      <c r="A357" s="2"/>
      <c r="B357" s="2"/>
      <c r="C357" s="2"/>
      <c r="D357" s="2"/>
      <c r="E357" s="2"/>
      <c r="F357" s="2"/>
      <c r="G357" s="2"/>
    </row>
    <row r="358" spans="1:7">
      <c r="A358" s="2"/>
      <c r="B358" s="2"/>
      <c r="C358" s="2"/>
      <c r="D358" s="2"/>
      <c r="E358" s="2"/>
      <c r="F358" s="2"/>
      <c r="G358" s="2"/>
    </row>
    <row r="359" spans="1:7">
      <c r="A359" s="2"/>
      <c r="B359" s="2"/>
      <c r="C359" s="2"/>
      <c r="D359" s="2"/>
      <c r="E359" s="2"/>
      <c r="F359" s="2"/>
      <c r="G359" s="2"/>
    </row>
    <row r="360" spans="1:7">
      <c r="A360" s="2"/>
      <c r="B360" s="2"/>
      <c r="C360" s="2"/>
      <c r="D360" s="2"/>
      <c r="E360" s="2"/>
      <c r="F360" s="2"/>
      <c r="G360" s="2"/>
    </row>
    <row r="361" spans="1:7">
      <c r="A361" s="2"/>
      <c r="B361" s="2"/>
      <c r="C361" s="2"/>
      <c r="D361" s="2"/>
      <c r="E361" s="2"/>
      <c r="F361" s="2"/>
      <c r="G361" s="2"/>
    </row>
    <row r="362" spans="1:7">
      <c r="A362" s="2"/>
      <c r="B362" s="2"/>
      <c r="C362" s="2"/>
      <c r="D362" s="2"/>
      <c r="E362" s="2"/>
      <c r="F362" s="2"/>
      <c r="G362" s="2"/>
    </row>
    <row r="363" spans="1:7">
      <c r="A363" s="2"/>
      <c r="B363" s="2"/>
      <c r="C363" s="2"/>
      <c r="D363" s="2"/>
      <c r="E363" s="2"/>
      <c r="F363" s="2"/>
      <c r="G363" s="2"/>
    </row>
    <row r="364" spans="1:7">
      <c r="A364" s="2"/>
      <c r="B364" s="2"/>
      <c r="C364" s="2"/>
      <c r="D364" s="2"/>
      <c r="E364" s="2"/>
      <c r="F364" s="2"/>
      <c r="G364" s="2"/>
    </row>
    <row r="365" spans="1:7">
      <c r="A365" s="2"/>
      <c r="B365" s="2"/>
      <c r="C365" s="2"/>
      <c r="D365" s="2"/>
      <c r="E365" s="2"/>
      <c r="F365" s="2"/>
      <c r="G365" s="2"/>
    </row>
    <row r="366" spans="1:7">
      <c r="A366" s="2"/>
      <c r="B366" s="2"/>
      <c r="C366" s="2"/>
      <c r="D366" s="2"/>
      <c r="E366" s="2"/>
      <c r="F366" s="2"/>
      <c r="G366" s="2"/>
    </row>
    <row r="367" spans="1:7">
      <c r="A367" s="2"/>
      <c r="B367" s="2"/>
      <c r="C367" s="2"/>
      <c r="D367" s="2"/>
      <c r="E367" s="2"/>
      <c r="F367" s="2"/>
      <c r="G367" s="2"/>
    </row>
    <row r="368" spans="1:7">
      <c r="A368" s="2"/>
      <c r="B368" s="2"/>
      <c r="C368" s="2"/>
      <c r="D368" s="2"/>
      <c r="E368" s="2"/>
      <c r="F368" s="2"/>
      <c r="G368" s="2"/>
    </row>
    <row r="369" spans="1:7">
      <c r="A369" s="2"/>
      <c r="B369" s="2"/>
      <c r="C369" s="2"/>
      <c r="D369" s="2"/>
      <c r="E369" s="2"/>
      <c r="F369" s="2"/>
      <c r="G369" s="2"/>
    </row>
    <row r="370" spans="1:7">
      <c r="A370" s="2"/>
      <c r="B370" s="2"/>
      <c r="C370" s="2"/>
      <c r="D370" s="2"/>
      <c r="E370" s="2"/>
      <c r="F370" s="2"/>
      <c r="G370" s="2"/>
    </row>
    <row r="371" spans="1:7">
      <c r="A371" s="2"/>
      <c r="B371" s="2"/>
      <c r="C371" s="2"/>
      <c r="D371" s="2"/>
      <c r="E371" s="2"/>
      <c r="F371" s="2"/>
      <c r="G371" s="2"/>
    </row>
    <row r="372" spans="1:7">
      <c r="A372" s="2"/>
      <c r="B372" s="2"/>
      <c r="C372" s="2"/>
      <c r="D372" s="2"/>
      <c r="E372" s="2"/>
      <c r="F372" s="2"/>
      <c r="G372" s="2"/>
    </row>
    <row r="373" spans="1:7">
      <c r="A373" s="2"/>
      <c r="B373" s="2"/>
      <c r="C373" s="2"/>
      <c r="D373" s="2"/>
      <c r="E373" s="2"/>
      <c r="F373" s="2"/>
      <c r="G373" s="2"/>
    </row>
    <row r="374" spans="1:7">
      <c r="A374" s="2"/>
      <c r="B374" s="2"/>
      <c r="C374" s="2"/>
      <c r="D374" s="2"/>
      <c r="E374" s="2"/>
      <c r="F374" s="2"/>
      <c r="G374" s="2"/>
    </row>
    <row r="375" spans="1:7">
      <c r="A375" s="2"/>
      <c r="B375" s="2"/>
      <c r="C375" s="2"/>
      <c r="D375" s="2"/>
      <c r="E375" s="2"/>
      <c r="F375" s="2"/>
      <c r="G375" s="2"/>
    </row>
    <row r="376" spans="1:7">
      <c r="A376" s="2"/>
      <c r="B376" s="2"/>
      <c r="C376" s="2"/>
      <c r="D376" s="2"/>
      <c r="E376" s="2"/>
      <c r="F376" s="2"/>
      <c r="G376" s="2"/>
    </row>
    <row r="377" spans="1:7">
      <c r="A377" s="2"/>
      <c r="B377" s="2"/>
      <c r="C377" s="2"/>
      <c r="D377" s="2"/>
      <c r="E377" s="2"/>
      <c r="F377" s="2"/>
      <c r="G377" s="2"/>
    </row>
    <row r="378" spans="1:7">
      <c r="A378" s="2"/>
      <c r="B378" s="2"/>
      <c r="C378" s="2"/>
      <c r="D378" s="2"/>
      <c r="E378" s="2"/>
      <c r="F378" s="2"/>
      <c r="G378" s="2"/>
    </row>
    <row r="379" spans="1:7">
      <c r="A379" s="2"/>
      <c r="B379" s="2"/>
      <c r="C379" s="2"/>
      <c r="D379" s="2"/>
      <c r="E379" s="2"/>
      <c r="F379" s="2"/>
      <c r="G379" s="2"/>
    </row>
    <row r="380" spans="1:7">
      <c r="A380" s="2"/>
      <c r="B380" s="2"/>
      <c r="C380" s="2"/>
      <c r="D380" s="2"/>
      <c r="E380" s="2"/>
      <c r="F380" s="2"/>
      <c r="G380" s="2"/>
    </row>
    <row r="381" spans="1:7">
      <c r="A381" s="2"/>
      <c r="B381" s="2"/>
      <c r="C381" s="2"/>
      <c r="D381" s="2"/>
      <c r="E381" s="2"/>
      <c r="F381" s="2"/>
      <c r="G381" s="2"/>
    </row>
    <row r="382" spans="1:7">
      <c r="A382" s="2"/>
      <c r="B382" s="2"/>
      <c r="C382" s="2"/>
      <c r="D382" s="2"/>
      <c r="E382" s="2"/>
      <c r="F382" s="2"/>
      <c r="G382" s="2"/>
    </row>
    <row r="383" spans="1:7">
      <c r="A383" s="2"/>
      <c r="B383" s="2"/>
      <c r="C383" s="2"/>
      <c r="D383" s="2"/>
      <c r="E383" s="2"/>
      <c r="F383" s="2"/>
      <c r="G383" s="2"/>
    </row>
    <row r="384" spans="1:7">
      <c r="A384" s="2"/>
      <c r="B384" s="2"/>
      <c r="C384" s="2"/>
      <c r="D384" s="2"/>
      <c r="E384" s="2"/>
      <c r="F384" s="2"/>
      <c r="G384" s="2"/>
    </row>
    <row r="385" spans="1:7">
      <c r="A385" s="2"/>
      <c r="B385" s="2"/>
      <c r="C385" s="2"/>
      <c r="D385" s="2"/>
      <c r="E385" s="2"/>
      <c r="F385" s="2"/>
      <c r="G385" s="2"/>
    </row>
    <row r="386" spans="1:7">
      <c r="A386" s="2"/>
      <c r="B386" s="2"/>
      <c r="C386" s="2"/>
      <c r="D386" s="2"/>
      <c r="E386" s="2"/>
      <c r="F386" s="2"/>
      <c r="G386" s="2"/>
    </row>
    <row r="387" spans="1:7">
      <c r="A387" s="2"/>
      <c r="B387" s="2"/>
      <c r="C387" s="2"/>
      <c r="D387" s="2"/>
      <c r="E387" s="2"/>
      <c r="F387" s="2"/>
      <c r="G387" s="2"/>
    </row>
    <row r="388" spans="1:7">
      <c r="A388" s="2"/>
      <c r="B388" s="2"/>
      <c r="C388" s="2"/>
      <c r="D388" s="2"/>
      <c r="E388" s="2"/>
      <c r="F388" s="2"/>
      <c r="G388" s="2"/>
    </row>
    <row r="389" spans="1:7">
      <c r="A389" s="2"/>
      <c r="B389" s="2"/>
      <c r="C389" s="2"/>
      <c r="D389" s="2"/>
      <c r="E389" s="2"/>
      <c r="F389" s="2"/>
      <c r="G389" s="2"/>
    </row>
    <row r="390" spans="1:7">
      <c r="A390" s="2"/>
      <c r="B390" s="2"/>
      <c r="C390" s="2"/>
      <c r="D390" s="2"/>
      <c r="E390" s="2"/>
      <c r="F390" s="2"/>
      <c r="G390" s="2"/>
    </row>
    <row r="391" spans="1:7">
      <c r="A391" s="2"/>
      <c r="B391" s="2"/>
      <c r="C391" s="2"/>
      <c r="D391" s="2"/>
      <c r="E391" s="2"/>
      <c r="F391" s="2"/>
      <c r="G391" s="2"/>
    </row>
    <row r="392" spans="1:7">
      <c r="A392" s="2"/>
      <c r="B392" s="2"/>
      <c r="C392" s="2"/>
      <c r="D392" s="2"/>
      <c r="E392" s="2"/>
      <c r="F392" s="2"/>
      <c r="G392" s="2"/>
    </row>
    <row r="393" spans="1:7">
      <c r="A393" s="2"/>
      <c r="B393" s="2"/>
      <c r="C393" s="2"/>
      <c r="D393" s="2"/>
      <c r="E393" s="2"/>
      <c r="F393" s="2"/>
      <c r="G393" s="2"/>
    </row>
    <row r="394" spans="1:7">
      <c r="A394" s="2"/>
      <c r="B394" s="2"/>
      <c r="C394" s="2"/>
      <c r="D394" s="2"/>
      <c r="E394" s="2"/>
      <c r="F394" s="2"/>
      <c r="G394" s="2"/>
    </row>
    <row r="395" spans="1:7">
      <c r="A395" s="2"/>
      <c r="B395" s="2"/>
      <c r="C395" s="2"/>
      <c r="D395" s="2"/>
      <c r="E395" s="2"/>
      <c r="F395" s="2"/>
      <c r="G395" s="2"/>
    </row>
    <row r="396" spans="1:7">
      <c r="A396" s="2"/>
      <c r="B396" s="2"/>
      <c r="C396" s="2"/>
      <c r="D396" s="2"/>
      <c r="E396" s="2"/>
      <c r="F396" s="2"/>
      <c r="G396" s="2"/>
    </row>
    <row r="397" spans="1:7">
      <c r="A397" s="2"/>
      <c r="B397" s="2"/>
      <c r="C397" s="2"/>
      <c r="D397" s="2"/>
      <c r="E397" s="2"/>
      <c r="F397" s="2"/>
      <c r="G397" s="2"/>
    </row>
    <row r="398" spans="1:7">
      <c r="A398" s="2"/>
      <c r="B398" s="2"/>
      <c r="C398" s="2"/>
      <c r="D398" s="2"/>
      <c r="E398" s="2"/>
      <c r="F398" s="2"/>
      <c r="G398" s="2"/>
    </row>
  </sheetData>
  <mergeCells count="1">
    <mergeCell ref="A1:G1"/>
  </mergeCells>
  <pageMargins left="0.11811023622047245" right="0" top="0.19685039370078741" bottom="0.19685039370078741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45"/>
  <sheetViews>
    <sheetView topLeftCell="A13" zoomScale="60" zoomScaleNormal="60" workbookViewId="0">
      <selection activeCell="T31" sqref="T31"/>
    </sheetView>
  </sheetViews>
  <sheetFormatPr defaultRowHeight="15"/>
  <cols>
    <col min="1" max="1" width="11.140625" style="1" customWidth="1"/>
    <col min="2" max="2" width="36" style="1" customWidth="1"/>
    <col min="3" max="3" width="15" style="1" customWidth="1"/>
    <col min="4" max="4" width="15.85546875" style="1" customWidth="1"/>
    <col min="5" max="5" width="14" style="1" customWidth="1"/>
    <col min="6" max="6" width="14.85546875" style="1" customWidth="1"/>
    <col min="7" max="7" width="15.5703125" style="1" customWidth="1"/>
    <col min="8" max="8" width="14.85546875" style="1" customWidth="1"/>
    <col min="9" max="9" width="12.85546875" style="1" customWidth="1"/>
    <col min="10" max="10" width="12.5703125" style="1" customWidth="1"/>
    <col min="11" max="11" width="13" style="1" customWidth="1"/>
    <col min="12" max="13" width="14.28515625" style="1" customWidth="1"/>
    <col min="14" max="14" width="15.42578125" style="1" customWidth="1"/>
    <col min="15" max="15" width="14.28515625" style="1" customWidth="1"/>
    <col min="16" max="16" width="17.85546875" style="1" customWidth="1"/>
    <col min="17" max="17" width="11.5703125" style="1" customWidth="1"/>
    <col min="18" max="16384" width="9.140625" style="1"/>
  </cols>
  <sheetData>
    <row r="1" spans="1:16" ht="24.75" customHeight="1">
      <c r="A1" s="79" t="s">
        <v>132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16" ht="20.25" customHeight="1">
      <c r="A2" s="17" t="s">
        <v>0</v>
      </c>
      <c r="B2" s="17" t="s">
        <v>49</v>
      </c>
      <c r="C2" s="17" t="s">
        <v>1</v>
      </c>
      <c r="D2" s="17" t="s">
        <v>2</v>
      </c>
      <c r="E2" s="17" t="s">
        <v>3</v>
      </c>
      <c r="F2" s="17" t="s">
        <v>4</v>
      </c>
      <c r="G2" s="17" t="s">
        <v>5</v>
      </c>
      <c r="H2" s="17" t="s">
        <v>6</v>
      </c>
      <c r="I2" s="17" t="s">
        <v>7</v>
      </c>
      <c r="J2" s="17" t="s">
        <v>8</v>
      </c>
      <c r="K2" s="17" t="s">
        <v>9</v>
      </c>
      <c r="L2" s="17" t="s">
        <v>10</v>
      </c>
      <c r="M2" s="17" t="s">
        <v>11</v>
      </c>
      <c r="N2" s="17" t="s">
        <v>12</v>
      </c>
      <c r="O2" s="17" t="s">
        <v>13</v>
      </c>
      <c r="P2" s="17" t="s">
        <v>14</v>
      </c>
    </row>
    <row r="3" spans="1:16" ht="20.25" customHeight="1">
      <c r="A3" s="80" t="s">
        <v>48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1:16" s="14" customFormat="1" ht="18" customHeight="1">
      <c r="A4" s="39" t="s">
        <v>87</v>
      </c>
      <c r="B4" s="48" t="s">
        <v>15</v>
      </c>
      <c r="C4" s="18" t="s">
        <v>16</v>
      </c>
      <c r="D4" s="18">
        <v>6359.25</v>
      </c>
      <c r="E4" s="18">
        <v>6065.59</v>
      </c>
      <c r="F4" s="18">
        <v>6872.63</v>
      </c>
      <c r="G4" s="18">
        <v>5150.3900000000003</v>
      </c>
      <c r="H4" s="18">
        <v>2135.5700000000002</v>
      </c>
      <c r="I4" s="18">
        <f>0</f>
        <v>0</v>
      </c>
      <c r="J4" s="18">
        <v>0</v>
      </c>
      <c r="K4" s="18">
        <v>0</v>
      </c>
      <c r="L4" s="18">
        <v>1615.86</v>
      </c>
      <c r="M4" s="18">
        <f>5481.53</f>
        <v>5481.53</v>
      </c>
      <c r="N4" s="18">
        <f>5432.96</f>
        <v>5432.96</v>
      </c>
      <c r="O4" s="18">
        <v>7560.91</v>
      </c>
      <c r="P4" s="18">
        <f>SUM(D4:O4)</f>
        <v>46674.69</v>
      </c>
    </row>
    <row r="5" spans="1:16" s="14" customFormat="1" ht="17.25" customHeight="1">
      <c r="A5" s="39" t="s">
        <v>36</v>
      </c>
      <c r="B5" s="48" t="s">
        <v>17</v>
      </c>
      <c r="C5" s="18" t="s">
        <v>19</v>
      </c>
      <c r="D5" s="18">
        <v>1939.7660000000001</v>
      </c>
      <c r="E5" s="18">
        <v>1845.5219999999999</v>
      </c>
      <c r="F5" s="18">
        <v>2111.973</v>
      </c>
      <c r="G5" s="18">
        <v>1593.2750000000001</v>
      </c>
      <c r="H5" s="18">
        <v>581.53899999999999</v>
      </c>
      <c r="I5" s="18">
        <v>0</v>
      </c>
      <c r="J5" s="18">
        <v>0</v>
      </c>
      <c r="K5" s="18">
        <v>0</v>
      </c>
      <c r="L5" s="18">
        <v>342.60599999999999</v>
      </c>
      <c r="M5" s="18">
        <v>1420.289</v>
      </c>
      <c r="N5" s="18">
        <v>1409.383</v>
      </c>
      <c r="O5" s="18">
        <v>1999.8810000000001</v>
      </c>
      <c r="P5" s="18">
        <f t="shared" ref="P5:P25" si="0">SUM(D5:O5)</f>
        <v>13244.234</v>
      </c>
    </row>
    <row r="6" spans="1:16" s="14" customFormat="1" ht="18" customHeight="1">
      <c r="A6" s="39" t="s">
        <v>37</v>
      </c>
      <c r="B6" s="48" t="s">
        <v>18</v>
      </c>
      <c r="C6" s="18" t="s">
        <v>20</v>
      </c>
      <c r="D6" s="18">
        <f>D4/D5*1000</f>
        <v>3278.3593484987359</v>
      </c>
      <c r="E6" s="18">
        <f t="shared" ref="E6:H6" si="1">E4/E5*1000</f>
        <v>3286.6527735784243</v>
      </c>
      <c r="F6" s="18">
        <f t="shared" si="1"/>
        <v>3254.1277753077334</v>
      </c>
      <c r="G6" s="18">
        <f t="shared" si="1"/>
        <v>3232.5806907156643</v>
      </c>
      <c r="H6" s="18">
        <f t="shared" si="1"/>
        <v>3672.2730547736269</v>
      </c>
      <c r="I6" s="18">
        <v>0</v>
      </c>
      <c r="J6" s="18">
        <v>0</v>
      </c>
      <c r="K6" s="18">
        <v>0</v>
      </c>
      <c r="L6" s="18">
        <f t="shared" ref="L6:P6" si="2">L4/L5*1000</f>
        <v>4716.3797481655311</v>
      </c>
      <c r="M6" s="18">
        <f t="shared" si="2"/>
        <v>3859.4469153813061</v>
      </c>
      <c r="N6" s="18">
        <f t="shared" si="2"/>
        <v>3854.8499591665286</v>
      </c>
      <c r="O6" s="18">
        <f t="shared" si="2"/>
        <v>3780.6799504570517</v>
      </c>
      <c r="P6" s="18">
        <f t="shared" si="2"/>
        <v>3524.1517176455809</v>
      </c>
    </row>
    <row r="7" spans="1:16" s="14" customFormat="1" ht="19.5" customHeight="1">
      <c r="A7" s="39" t="s">
        <v>88</v>
      </c>
      <c r="B7" s="19" t="s">
        <v>26</v>
      </c>
      <c r="C7" s="18" t="s">
        <v>16</v>
      </c>
      <c r="D7" s="18">
        <f>542.39/1.18</f>
        <v>459.65254237288138</v>
      </c>
      <c r="E7" s="18">
        <f>511.81/1.18</f>
        <v>433.73728813559325</v>
      </c>
      <c r="F7" s="18">
        <f>586.23/1.18</f>
        <v>496.80508474576277</v>
      </c>
      <c r="G7" s="18">
        <f>441.25/1.18</f>
        <v>373.9406779661017</v>
      </c>
      <c r="H7" s="18">
        <f>160.97/1.18</f>
        <v>136.41525423728814</v>
      </c>
      <c r="I7" s="18">
        <v>0</v>
      </c>
      <c r="J7" s="18">
        <v>0</v>
      </c>
      <c r="K7" s="18">
        <v>0</v>
      </c>
      <c r="L7" s="18">
        <f>103.02/1.18</f>
        <v>87.305084745762713</v>
      </c>
      <c r="M7" s="18">
        <f>426.85/1.18</f>
        <v>361.73728813559325</v>
      </c>
      <c r="N7" s="18">
        <f>423.75/1.18</f>
        <v>359.11016949152543</v>
      </c>
      <c r="O7" s="18">
        <f>646.17/1.18</f>
        <v>547.60169491525426</v>
      </c>
      <c r="P7" s="18">
        <f>SUM(D7:O7)</f>
        <v>3256.3050847457635</v>
      </c>
    </row>
    <row r="8" spans="1:16" s="14" customFormat="1" ht="16.5" customHeight="1">
      <c r="A8" s="39" t="s">
        <v>91</v>
      </c>
      <c r="B8" s="19" t="s">
        <v>21</v>
      </c>
      <c r="C8" s="18" t="s">
        <v>16</v>
      </c>
      <c r="D8" s="18">
        <f>213.59/1.18</f>
        <v>181.0084745762712</v>
      </c>
      <c r="E8" s="18">
        <f>130.2/1.18</f>
        <v>110.33898305084746</v>
      </c>
      <c r="F8" s="18">
        <f>130.2/1.18</f>
        <v>110.33898305084746</v>
      </c>
      <c r="G8" s="18">
        <f>186/1.18</f>
        <v>157.62711864406779</v>
      </c>
      <c r="H8" s="18">
        <f>108.5/1.18</f>
        <v>91.949152542372886</v>
      </c>
      <c r="I8" s="18">
        <f>43.4/1.18</f>
        <v>36.779661016949156</v>
      </c>
      <c r="J8" s="18">
        <v>0</v>
      </c>
      <c r="K8" s="18">
        <v>0</v>
      </c>
      <c r="L8" s="18">
        <f>14/1.18</f>
        <v>11.864406779661017</v>
      </c>
      <c r="M8" s="18">
        <f>112/1.18</f>
        <v>94.915254237288138</v>
      </c>
      <c r="N8" s="18">
        <f>140/1.18</f>
        <v>118.64406779661017</v>
      </c>
      <c r="O8" s="18">
        <f>137.76/1.18</f>
        <v>116.7457627118644</v>
      </c>
      <c r="P8" s="18">
        <f>SUM(D8:O8)</f>
        <v>1030.2118644067798</v>
      </c>
    </row>
    <row r="9" spans="1:16" s="14" customFormat="1">
      <c r="A9" s="39" t="s">
        <v>38</v>
      </c>
      <c r="B9" s="19" t="s">
        <v>17</v>
      </c>
      <c r="C9" s="18" t="s">
        <v>19</v>
      </c>
      <c r="D9" s="18">
        <v>68.900000000000006</v>
      </c>
      <c r="E9" s="18">
        <v>42</v>
      </c>
      <c r="F9" s="18">
        <v>42</v>
      </c>
      <c r="G9" s="18">
        <v>60</v>
      </c>
      <c r="H9" s="18">
        <v>35</v>
      </c>
      <c r="I9" s="18">
        <v>14</v>
      </c>
      <c r="J9" s="18">
        <v>0</v>
      </c>
      <c r="K9" s="18">
        <v>0</v>
      </c>
      <c r="L9" s="18">
        <v>5</v>
      </c>
      <c r="M9" s="18">
        <v>40</v>
      </c>
      <c r="N9" s="18">
        <v>50</v>
      </c>
      <c r="O9" s="18">
        <v>49.2</v>
      </c>
      <c r="P9" s="18">
        <f t="shared" si="0"/>
        <v>406.09999999999997</v>
      </c>
    </row>
    <row r="10" spans="1:16" s="14" customFormat="1" ht="20.25" customHeight="1">
      <c r="A10" s="39" t="s">
        <v>39</v>
      </c>
      <c r="B10" s="19" t="s">
        <v>18</v>
      </c>
      <c r="C10" s="18" t="s">
        <v>20</v>
      </c>
      <c r="D10" s="18">
        <f t="shared" ref="D10:I10" si="3">D8/D9*1000</f>
        <v>2627.1186440677966</v>
      </c>
      <c r="E10" s="18">
        <f t="shared" si="3"/>
        <v>2627.1186440677966</v>
      </c>
      <c r="F10" s="18">
        <f t="shared" si="3"/>
        <v>2627.1186440677966</v>
      </c>
      <c r="G10" s="18">
        <f t="shared" si="3"/>
        <v>2627.1186440677966</v>
      </c>
      <c r="H10" s="18">
        <f t="shared" si="3"/>
        <v>2627.1186440677966</v>
      </c>
      <c r="I10" s="18">
        <f t="shared" si="3"/>
        <v>2627.1186440677966</v>
      </c>
      <c r="J10" s="18">
        <v>0</v>
      </c>
      <c r="K10" s="18">
        <v>0</v>
      </c>
      <c r="L10" s="18">
        <f>L8/L9*1000</f>
        <v>2372.8813559322034</v>
      </c>
      <c r="M10" s="18">
        <f>M8/M9*1000</f>
        <v>2372.8813559322034</v>
      </c>
      <c r="N10" s="18">
        <f>N8/N9*1000</f>
        <v>2372.8813559322034</v>
      </c>
      <c r="O10" s="18">
        <f>O8/O9*1000</f>
        <v>2372.8813559322034</v>
      </c>
      <c r="P10" s="18">
        <f>P8/P9*1000</f>
        <v>2536.8428081920215</v>
      </c>
    </row>
    <row r="11" spans="1:16" s="14" customFormat="1" ht="20.25" customHeight="1">
      <c r="A11" s="39" t="s">
        <v>92</v>
      </c>
      <c r="B11" s="19" t="s">
        <v>22</v>
      </c>
      <c r="C11" s="18" t="s">
        <v>16</v>
      </c>
      <c r="D11" s="18">
        <v>2489.1</v>
      </c>
      <c r="E11" s="18">
        <v>2064.3000000000002</v>
      </c>
      <c r="F11" s="18">
        <v>2074.1</v>
      </c>
      <c r="G11" s="18">
        <f>(602620.73+128907.54+1323992.22+35363)/1000</f>
        <v>2090.8834900000002</v>
      </c>
      <c r="H11" s="18">
        <v>1449.7</v>
      </c>
      <c r="I11" s="18">
        <f>(75324.23)/1000</f>
        <v>75.32423</v>
      </c>
      <c r="J11" s="18">
        <f>(76059.52)/1000</f>
        <v>76.059520000000006</v>
      </c>
      <c r="K11" s="18">
        <f>(90405.88)/1000</f>
        <v>90.40588000000001</v>
      </c>
      <c r="L11" s="18">
        <f>(285928.09+56236.21+17867.67)/1000</f>
        <v>360.03197000000006</v>
      </c>
      <c r="M11" s="18">
        <v>2623.7</v>
      </c>
      <c r="N11" s="18">
        <f>(1565525.33+492283.13+124232.38)/1000</f>
        <v>2182.0408399999997</v>
      </c>
      <c r="O11" s="18">
        <v>2432.6999999999998</v>
      </c>
      <c r="P11" s="18">
        <f t="shared" si="0"/>
        <v>18008.345929999999</v>
      </c>
    </row>
    <row r="12" spans="1:16">
      <c r="A12" s="40" t="s">
        <v>40</v>
      </c>
      <c r="B12" s="20" t="s">
        <v>17</v>
      </c>
      <c r="C12" s="17" t="s">
        <v>19</v>
      </c>
      <c r="D12" s="17">
        <f>151105+501650+45700</f>
        <v>698455</v>
      </c>
      <c r="E12" s="17">
        <f>138495+370957+35715</f>
        <v>545167</v>
      </c>
      <c r="F12" s="17">
        <f>124415+395123+34200</f>
        <v>553738</v>
      </c>
      <c r="G12" s="17">
        <v>577948</v>
      </c>
      <c r="H12" s="17">
        <f>102095+26115+261482</f>
        <v>389692</v>
      </c>
      <c r="I12" s="17">
        <v>20913</v>
      </c>
      <c r="J12" s="17">
        <v>18824</v>
      </c>
      <c r="K12" s="17">
        <v>22114</v>
      </c>
      <c r="L12" s="17">
        <f>71967+13235+4350</f>
        <v>89552</v>
      </c>
      <c r="M12" s="17">
        <f>495293+124440+29610</f>
        <v>649343</v>
      </c>
      <c r="N12" s="17">
        <f>397463+116205+30465</f>
        <v>544133</v>
      </c>
      <c r="O12" s="17">
        <f>444208+122705+33025</f>
        <v>599938</v>
      </c>
      <c r="P12" s="17">
        <f t="shared" si="0"/>
        <v>4709817</v>
      </c>
    </row>
    <row r="13" spans="1:16" ht="16.5" customHeight="1">
      <c r="A13" s="40" t="s">
        <v>41</v>
      </c>
      <c r="B13" s="20" t="s">
        <v>18</v>
      </c>
      <c r="C13" s="17" t="s">
        <v>20</v>
      </c>
      <c r="D13" s="17">
        <f>(D11*1000)/D12</f>
        <v>3.563722788153854</v>
      </c>
      <c r="E13" s="17">
        <f t="shared" ref="E13:M13" si="4">(E11*1000)/E12</f>
        <v>3.7865461409072823</v>
      </c>
      <c r="F13" s="17">
        <f t="shared" si="4"/>
        <v>3.7456342169040231</v>
      </c>
      <c r="G13" s="17">
        <f t="shared" si="4"/>
        <v>3.6177709586329572</v>
      </c>
      <c r="H13" s="17">
        <f t="shared" si="4"/>
        <v>3.7201174260698191</v>
      </c>
      <c r="I13" s="17">
        <f t="shared" si="4"/>
        <v>3.601789795820781</v>
      </c>
      <c r="J13" s="17">
        <f t="shared" si="4"/>
        <v>4.0405609859753504</v>
      </c>
      <c r="K13" s="17">
        <f t="shared" si="4"/>
        <v>4.088174007416117</v>
      </c>
      <c r="L13" s="17">
        <f t="shared" si="4"/>
        <v>4.0203677193139189</v>
      </c>
      <c r="M13" s="17">
        <f t="shared" si="4"/>
        <v>4.0405455976271396</v>
      </c>
      <c r="N13" s="17">
        <f>(N11*1000)/N12</f>
        <v>4.0101240689316766</v>
      </c>
      <c r="O13" s="17">
        <f>(O11*1000)/O12</f>
        <v>4.0549190082975244</v>
      </c>
      <c r="P13" s="17">
        <f>SUM(D13:O13)/12</f>
        <v>3.85752272617087</v>
      </c>
    </row>
    <row r="14" spans="1:16" ht="17.25" customHeight="1">
      <c r="A14" s="40" t="s">
        <v>93</v>
      </c>
      <c r="B14" s="20" t="s">
        <v>23</v>
      </c>
      <c r="C14" s="17" t="s">
        <v>16</v>
      </c>
      <c r="D14" s="17">
        <f>D15+D18</f>
        <v>1193.78</v>
      </c>
      <c r="E14" s="17">
        <f t="shared" ref="E14:O14" si="5">E15+E18</f>
        <v>1014.78</v>
      </c>
      <c r="F14" s="17">
        <f t="shared" si="5"/>
        <v>1125.1500000000001</v>
      </c>
      <c r="G14" s="17">
        <f t="shared" si="5"/>
        <v>1083.27</v>
      </c>
      <c r="H14" s="17">
        <f t="shared" si="5"/>
        <v>1414.45</v>
      </c>
      <c r="I14" s="17">
        <f>I15+I18</f>
        <v>828.83961999999997</v>
      </c>
      <c r="J14" s="17">
        <f t="shared" si="5"/>
        <v>793.69893999999999</v>
      </c>
      <c r="K14" s="17">
        <f t="shared" si="5"/>
        <v>679.91651000000002</v>
      </c>
      <c r="L14" s="17">
        <f t="shared" si="5"/>
        <v>904.28240000000005</v>
      </c>
      <c r="M14" s="17">
        <f t="shared" si="5"/>
        <v>1012.9</v>
      </c>
      <c r="N14" s="17">
        <f t="shared" si="5"/>
        <v>1057.21</v>
      </c>
      <c r="O14" s="17">
        <f t="shared" si="5"/>
        <v>1167.17</v>
      </c>
      <c r="P14" s="17">
        <f t="shared" si="0"/>
        <v>12275.447470000001</v>
      </c>
    </row>
    <row r="15" spans="1:16" s="14" customFormat="1" ht="33.75" customHeight="1">
      <c r="A15" s="39" t="s">
        <v>42</v>
      </c>
      <c r="B15" s="19" t="s">
        <v>131</v>
      </c>
      <c r="C15" s="18" t="s">
        <v>16</v>
      </c>
      <c r="D15" s="18">
        <v>1193.78</v>
      </c>
      <c r="E15" s="18">
        <v>1014.78</v>
      </c>
      <c r="F15" s="18">
        <v>1125.1500000000001</v>
      </c>
      <c r="G15" s="18">
        <f>1083.27</f>
        <v>1083.27</v>
      </c>
      <c r="H15" s="18">
        <v>1414.45</v>
      </c>
      <c r="I15" s="18">
        <f>828839.62/1000</f>
        <v>828.83961999999997</v>
      </c>
      <c r="J15" s="18">
        <f>793698.94/1000</f>
        <v>793.69893999999999</v>
      </c>
      <c r="K15" s="18">
        <f>679916.51/1000</f>
        <v>679.91651000000002</v>
      </c>
      <c r="L15" s="18">
        <f>904282.4/1000</f>
        <v>904.28240000000005</v>
      </c>
      <c r="M15" s="18">
        <v>1012.9</v>
      </c>
      <c r="N15" s="18">
        <v>1057.21</v>
      </c>
      <c r="O15" s="18">
        <v>1167.17</v>
      </c>
      <c r="P15" s="18">
        <f t="shared" si="0"/>
        <v>12275.447470000001</v>
      </c>
    </row>
    <row r="16" spans="1:16" ht="15.75" customHeight="1">
      <c r="A16" s="40" t="s">
        <v>43</v>
      </c>
      <c r="B16" s="20" t="s">
        <v>28</v>
      </c>
      <c r="C16" s="17" t="s">
        <v>30</v>
      </c>
      <c r="D16" s="17">
        <f>D15/D17*1000</f>
        <v>17054</v>
      </c>
      <c r="E16" s="17">
        <f t="shared" ref="E16:O16" si="6">E15/E17*1000</f>
        <v>15145.970149253732</v>
      </c>
      <c r="F16" s="17">
        <f t="shared" si="6"/>
        <v>16793.283582089553</v>
      </c>
      <c r="G16" s="17">
        <f>G15/G17*1000</f>
        <v>16168.208955223879</v>
      </c>
      <c r="H16" s="17">
        <f t="shared" si="6"/>
        <v>20800.735294117647</v>
      </c>
      <c r="I16" s="17">
        <f t="shared" si="6"/>
        <v>12558.17606060606</v>
      </c>
      <c r="J16" s="17">
        <f t="shared" si="6"/>
        <v>12025.741515151514</v>
      </c>
      <c r="K16" s="17">
        <f t="shared" si="6"/>
        <v>10460.254000000001</v>
      </c>
      <c r="L16" s="17">
        <f t="shared" si="6"/>
        <v>13701.248484848486</v>
      </c>
      <c r="M16" s="17">
        <f t="shared" si="6"/>
        <v>14469.999999999998</v>
      </c>
      <c r="N16" s="17">
        <f t="shared" si="6"/>
        <v>14890.281690140846</v>
      </c>
      <c r="O16" s="17">
        <f t="shared" si="6"/>
        <v>15988.630136986301</v>
      </c>
      <c r="P16" s="17">
        <f>SUM(D16:O16)/12</f>
        <v>15004.710822368166</v>
      </c>
    </row>
    <row r="17" spans="1:18" ht="20.25" customHeight="1">
      <c r="A17" s="40" t="s">
        <v>44</v>
      </c>
      <c r="B17" s="20" t="s">
        <v>29</v>
      </c>
      <c r="C17" s="17" t="s">
        <v>31</v>
      </c>
      <c r="D17" s="17">
        <v>70</v>
      </c>
      <c r="E17" s="17">
        <v>67</v>
      </c>
      <c r="F17" s="17">
        <v>67</v>
      </c>
      <c r="G17" s="17">
        <v>67</v>
      </c>
      <c r="H17" s="17">
        <v>68</v>
      </c>
      <c r="I17" s="17">
        <v>66</v>
      </c>
      <c r="J17" s="17">
        <v>66</v>
      </c>
      <c r="K17" s="17">
        <v>65</v>
      </c>
      <c r="L17" s="17">
        <v>66</v>
      </c>
      <c r="M17" s="17">
        <v>70</v>
      </c>
      <c r="N17" s="17">
        <v>71</v>
      </c>
      <c r="O17" s="17">
        <v>73</v>
      </c>
      <c r="P17" s="17">
        <f>SUM(D17:O17)/12</f>
        <v>68</v>
      </c>
      <c r="R17" s="9" t="s">
        <v>127</v>
      </c>
    </row>
    <row r="18" spans="1:18" ht="16.5" customHeight="1">
      <c r="A18" s="40" t="s">
        <v>45</v>
      </c>
      <c r="B18" s="20" t="s">
        <v>32</v>
      </c>
      <c r="C18" s="17" t="s">
        <v>16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>
      <c r="A19" s="40" t="s">
        <v>46</v>
      </c>
      <c r="B19" s="20" t="s">
        <v>33</v>
      </c>
      <c r="C19" s="17" t="s">
        <v>30</v>
      </c>
      <c r="D19" s="17">
        <f>D18/D20*1000</f>
        <v>0</v>
      </c>
      <c r="E19" s="17">
        <f t="shared" ref="E19:O19" si="7">E18/E20*1000</f>
        <v>0</v>
      </c>
      <c r="F19" s="17">
        <f t="shared" si="7"/>
        <v>0</v>
      </c>
      <c r="G19" s="17">
        <f t="shared" si="7"/>
        <v>0</v>
      </c>
      <c r="H19" s="17">
        <f t="shared" si="7"/>
        <v>0</v>
      </c>
      <c r="I19" s="17">
        <f t="shared" si="7"/>
        <v>0</v>
      </c>
      <c r="J19" s="17">
        <f t="shared" si="7"/>
        <v>0</v>
      </c>
      <c r="K19" s="17">
        <f t="shared" si="7"/>
        <v>0</v>
      </c>
      <c r="L19" s="17">
        <f t="shared" si="7"/>
        <v>0</v>
      </c>
      <c r="M19" s="17">
        <f t="shared" si="7"/>
        <v>0</v>
      </c>
      <c r="N19" s="17">
        <f t="shared" si="7"/>
        <v>0</v>
      </c>
      <c r="O19" s="17">
        <f t="shared" si="7"/>
        <v>0</v>
      </c>
      <c r="P19" s="17">
        <f>SUM(D19:O19)/12</f>
        <v>0</v>
      </c>
    </row>
    <row r="20" spans="1:18">
      <c r="A20" s="40" t="s">
        <v>47</v>
      </c>
      <c r="B20" s="20" t="s">
        <v>34</v>
      </c>
      <c r="C20" s="17" t="s">
        <v>31</v>
      </c>
      <c r="D20" s="49">
        <v>17</v>
      </c>
      <c r="E20" s="17">
        <v>9</v>
      </c>
      <c r="F20" s="17">
        <v>9</v>
      </c>
      <c r="G20" s="17">
        <v>9</v>
      </c>
      <c r="H20" s="17">
        <v>9</v>
      </c>
      <c r="I20" s="17">
        <v>9</v>
      </c>
      <c r="J20" s="17">
        <v>10</v>
      </c>
      <c r="K20" s="17">
        <v>7</v>
      </c>
      <c r="L20" s="17">
        <v>7</v>
      </c>
      <c r="M20" s="17">
        <v>7</v>
      </c>
      <c r="N20" s="17">
        <v>7</v>
      </c>
      <c r="O20" s="17">
        <v>7</v>
      </c>
      <c r="P20" s="17">
        <f>SUM(D20:O20)/12</f>
        <v>8.9166666666666661</v>
      </c>
    </row>
    <row r="21" spans="1:18" ht="18.75" customHeight="1">
      <c r="A21" s="40" t="s">
        <v>94</v>
      </c>
      <c r="B21" s="20" t="s">
        <v>24</v>
      </c>
      <c r="C21" s="17" t="s">
        <v>16</v>
      </c>
      <c r="D21" s="17">
        <f>(D15+D18)*0.3</f>
        <v>358.13399999999996</v>
      </c>
      <c r="E21" s="17">
        <f t="shared" ref="E21:O21" si="8">(E15+E18)*0.3</f>
        <v>304.43399999999997</v>
      </c>
      <c r="F21" s="17">
        <f t="shared" si="8"/>
        <v>337.54500000000002</v>
      </c>
      <c r="G21" s="17">
        <f t="shared" si="8"/>
        <v>324.98099999999999</v>
      </c>
      <c r="H21" s="17">
        <f t="shared" si="8"/>
        <v>424.33499999999998</v>
      </c>
      <c r="I21" s="17">
        <f t="shared" si="8"/>
        <v>248.65188599999999</v>
      </c>
      <c r="J21" s="17">
        <f t="shared" si="8"/>
        <v>238.10968199999999</v>
      </c>
      <c r="K21" s="17">
        <f t="shared" si="8"/>
        <v>203.974953</v>
      </c>
      <c r="L21" s="17">
        <f t="shared" si="8"/>
        <v>271.28471999999999</v>
      </c>
      <c r="M21" s="17">
        <f t="shared" si="8"/>
        <v>303.87</v>
      </c>
      <c r="N21" s="17">
        <f t="shared" si="8"/>
        <v>317.16300000000001</v>
      </c>
      <c r="O21" s="17">
        <f t="shared" si="8"/>
        <v>350.15100000000001</v>
      </c>
      <c r="P21" s="17">
        <f t="shared" si="0"/>
        <v>3682.6342409999997</v>
      </c>
    </row>
    <row r="22" spans="1:18" ht="17.25" customHeight="1">
      <c r="A22" s="40" t="s">
        <v>95</v>
      </c>
      <c r="B22" s="20" t="s">
        <v>25</v>
      </c>
      <c r="C22" s="17" t="s">
        <v>16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f t="shared" si="0"/>
        <v>0</v>
      </c>
    </row>
    <row r="23" spans="1:18" ht="20.25" customHeight="1">
      <c r="A23" s="40" t="s">
        <v>96</v>
      </c>
      <c r="B23" s="20" t="s">
        <v>35</v>
      </c>
      <c r="C23" s="17" t="s">
        <v>16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f t="shared" si="0"/>
        <v>0</v>
      </c>
    </row>
    <row r="24" spans="1:18" ht="36" customHeight="1">
      <c r="A24" s="40" t="s">
        <v>97</v>
      </c>
      <c r="B24" s="20" t="s">
        <v>83</v>
      </c>
      <c r="C24" s="17" t="s">
        <v>16</v>
      </c>
      <c r="D24" s="49">
        <v>525</v>
      </c>
      <c r="E24" s="49">
        <v>1002</v>
      </c>
      <c r="F24" s="49">
        <v>466</v>
      </c>
      <c r="G24" s="49">
        <v>142</v>
      </c>
      <c r="H24" s="49">
        <v>560</v>
      </c>
      <c r="I24" s="49">
        <v>598</v>
      </c>
      <c r="J24" s="49">
        <v>599</v>
      </c>
      <c r="K24" s="49">
        <v>358</v>
      </c>
      <c r="L24" s="49">
        <v>149</v>
      </c>
      <c r="M24" s="49">
        <v>690</v>
      </c>
      <c r="N24" s="49">
        <v>350</v>
      </c>
      <c r="O24" s="49">
        <v>957</v>
      </c>
      <c r="P24" s="49">
        <f t="shared" si="0"/>
        <v>6396</v>
      </c>
    </row>
    <row r="25" spans="1:18" ht="18.75" customHeight="1">
      <c r="A25" s="40" t="s">
        <v>81</v>
      </c>
      <c r="B25" s="20" t="s">
        <v>129</v>
      </c>
      <c r="C25" s="17" t="s">
        <v>16</v>
      </c>
      <c r="D25" s="17">
        <f>D24*80%</f>
        <v>420</v>
      </c>
      <c r="E25" s="17">
        <f t="shared" ref="E25:O25" si="9">E24*80%</f>
        <v>801.6</v>
      </c>
      <c r="F25" s="17">
        <f t="shared" si="9"/>
        <v>372.8</v>
      </c>
      <c r="G25" s="17">
        <f t="shared" si="9"/>
        <v>113.60000000000001</v>
      </c>
      <c r="H25" s="17">
        <f t="shared" si="9"/>
        <v>448</v>
      </c>
      <c r="I25" s="17">
        <f t="shared" si="9"/>
        <v>478.40000000000003</v>
      </c>
      <c r="J25" s="17">
        <f t="shared" si="9"/>
        <v>479.20000000000005</v>
      </c>
      <c r="K25" s="17">
        <f t="shared" si="9"/>
        <v>286.40000000000003</v>
      </c>
      <c r="L25" s="17">
        <f t="shared" si="9"/>
        <v>119.2</v>
      </c>
      <c r="M25" s="17">
        <f t="shared" si="9"/>
        <v>552</v>
      </c>
      <c r="N25" s="17">
        <f t="shared" si="9"/>
        <v>280</v>
      </c>
      <c r="O25" s="17">
        <f t="shared" si="9"/>
        <v>765.6</v>
      </c>
      <c r="P25" s="17">
        <f t="shared" si="0"/>
        <v>5116.8000000000011</v>
      </c>
    </row>
    <row r="26" spans="1:18" ht="18" customHeight="1">
      <c r="A26" s="40" t="s">
        <v>107</v>
      </c>
      <c r="B26" s="20" t="s">
        <v>134</v>
      </c>
      <c r="C26" s="17" t="s">
        <v>16</v>
      </c>
      <c r="D26" s="21">
        <f t="shared" ref="D26:P26" si="10">D4+D7+D8+D11+D14+D21+D22+D24</f>
        <v>11565.925016949153</v>
      </c>
      <c r="E26" s="21">
        <f t="shared" si="10"/>
        <v>10995.18027118644</v>
      </c>
      <c r="F26" s="21">
        <f t="shared" si="10"/>
        <v>11482.56906779661</v>
      </c>
      <c r="G26" s="21">
        <f t="shared" si="10"/>
        <v>9323.09228661017</v>
      </c>
      <c r="H26" s="21">
        <f t="shared" si="10"/>
        <v>6212.4194067796607</v>
      </c>
      <c r="I26" s="21">
        <f t="shared" si="10"/>
        <v>1787.5953970169489</v>
      </c>
      <c r="J26" s="21">
        <f t="shared" si="10"/>
        <v>1706.868142</v>
      </c>
      <c r="K26" s="21">
        <f t="shared" si="10"/>
        <v>1332.2973430000002</v>
      </c>
      <c r="L26" s="21">
        <f t="shared" si="10"/>
        <v>3399.6285815254241</v>
      </c>
      <c r="M26" s="21">
        <f t="shared" si="10"/>
        <v>10568.652542372882</v>
      </c>
      <c r="N26" s="21">
        <f t="shared" si="10"/>
        <v>9817.1280772881364</v>
      </c>
      <c r="O26" s="21">
        <f t="shared" si="10"/>
        <v>13132.278457627119</v>
      </c>
      <c r="P26" s="21">
        <f t="shared" si="10"/>
        <v>91323.634590152535</v>
      </c>
    </row>
    <row r="27" spans="1:18" s="11" customFormat="1" ht="15" customHeight="1">
      <c r="A27" s="42" t="s">
        <v>96</v>
      </c>
      <c r="B27" s="5" t="s">
        <v>35</v>
      </c>
      <c r="C27" s="4" t="s">
        <v>16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f>42000-22000-3800+1266.67</f>
        <v>17466.669999999998</v>
      </c>
      <c r="L27" s="6">
        <v>0</v>
      </c>
      <c r="M27" s="6">
        <v>0</v>
      </c>
      <c r="N27" s="6">
        <v>22000</v>
      </c>
      <c r="O27" s="6">
        <v>0</v>
      </c>
      <c r="P27" s="6">
        <f t="shared" ref="P27" si="11">SUM(D27:O27)</f>
        <v>39466.67</v>
      </c>
    </row>
    <row r="28" spans="1:18" ht="23.25" customHeight="1">
      <c r="A28" s="82" t="s">
        <v>50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</row>
    <row r="29" spans="1:18" s="16" customFormat="1" ht="22.5" customHeight="1">
      <c r="A29" s="4">
        <v>11</v>
      </c>
      <c r="B29" s="50" t="s">
        <v>138</v>
      </c>
      <c r="C29" s="46" t="s">
        <v>16</v>
      </c>
      <c r="D29" s="47">
        <v>13011.6</v>
      </c>
      <c r="E29" s="47">
        <v>12261.6</v>
      </c>
      <c r="F29" s="47">
        <v>12797.8</v>
      </c>
      <c r="G29" s="47">
        <v>11333</v>
      </c>
      <c r="H29" s="47">
        <v>4756.3999999999996</v>
      </c>
      <c r="I29" s="47">
        <v>0</v>
      </c>
      <c r="J29" s="47">
        <v>0</v>
      </c>
      <c r="K29" s="47">
        <v>0</v>
      </c>
      <c r="L29" s="47">
        <v>2123.9</v>
      </c>
      <c r="M29" s="47">
        <v>11079.9</v>
      </c>
      <c r="N29" s="47">
        <v>11982.6</v>
      </c>
      <c r="O29" s="47">
        <v>12593.2</v>
      </c>
      <c r="P29" s="47">
        <f t="shared" ref="P29" si="12">SUM(D29:O29)</f>
        <v>91940</v>
      </c>
    </row>
    <row r="30" spans="1:18" ht="16.5" customHeight="1">
      <c r="A30" s="4" t="s">
        <v>52</v>
      </c>
      <c r="B30" s="5" t="s">
        <v>53</v>
      </c>
      <c r="C30" s="4" t="s">
        <v>16</v>
      </c>
      <c r="D30" s="6">
        <v>183.75</v>
      </c>
      <c r="E30" s="6">
        <v>179.07</v>
      </c>
      <c r="F30" s="6">
        <v>163.13999999999999</v>
      </c>
      <c r="G30" s="6">
        <v>94.87</v>
      </c>
      <c r="H30" s="6">
        <f>1389.59-1122.74</f>
        <v>266.84999999999991</v>
      </c>
      <c r="I30" s="6">
        <v>0</v>
      </c>
      <c r="J30" s="6">
        <v>0</v>
      </c>
      <c r="K30" s="6">
        <v>0</v>
      </c>
      <c r="L30" s="6">
        <v>19.21</v>
      </c>
      <c r="M30" s="6">
        <v>106.92</v>
      </c>
      <c r="N30" s="6">
        <v>167.85</v>
      </c>
      <c r="O30" s="6">
        <v>207.93</v>
      </c>
      <c r="P30" s="6">
        <f t="shared" ref="P30:P49" si="13">SUM(D30:O30)</f>
        <v>1389.59</v>
      </c>
    </row>
    <row r="31" spans="1:18" ht="21" customHeight="1">
      <c r="A31" s="4" t="s">
        <v>54</v>
      </c>
      <c r="B31" s="5" t="s">
        <v>55</v>
      </c>
      <c r="C31" s="4" t="s">
        <v>16</v>
      </c>
      <c r="D31" s="6">
        <v>873.44</v>
      </c>
      <c r="E31" s="6">
        <v>678.47</v>
      </c>
      <c r="F31" s="6">
        <v>669.39</v>
      </c>
      <c r="G31" s="6">
        <v>391.7</v>
      </c>
      <c r="H31" s="6">
        <f>5431.35-4594.5-525.92</f>
        <v>310.9300000000004</v>
      </c>
      <c r="I31" s="6">
        <v>138.88</v>
      </c>
      <c r="J31" s="6">
        <v>0</v>
      </c>
      <c r="K31" s="6">
        <v>0</v>
      </c>
      <c r="L31" s="6">
        <v>33.01</v>
      </c>
      <c r="M31" s="6">
        <v>474.18</v>
      </c>
      <c r="N31" s="6">
        <v>589.63</v>
      </c>
      <c r="O31" s="6">
        <v>745.8</v>
      </c>
      <c r="P31" s="6">
        <f t="shared" si="13"/>
        <v>4905.43</v>
      </c>
    </row>
    <row r="32" spans="1:18" ht="15.75" customHeight="1">
      <c r="A32" s="4" t="s">
        <v>56</v>
      </c>
      <c r="B32" s="5" t="s">
        <v>57</v>
      </c>
      <c r="C32" s="4" t="s">
        <v>16</v>
      </c>
      <c r="D32" s="6">
        <v>1514.78</v>
      </c>
      <c r="E32" s="6">
        <v>167.97</v>
      </c>
      <c r="F32" s="6">
        <v>1134.75</v>
      </c>
      <c r="G32" s="6">
        <v>668.37</v>
      </c>
      <c r="H32" s="6">
        <f>577.78</f>
        <v>577.78</v>
      </c>
      <c r="I32" s="6">
        <v>0</v>
      </c>
      <c r="J32" s="6">
        <v>0</v>
      </c>
      <c r="K32" s="6">
        <v>0</v>
      </c>
      <c r="L32" s="6">
        <v>153.31</v>
      </c>
      <c r="M32" s="6" t="s">
        <v>124</v>
      </c>
      <c r="N32" s="6">
        <v>1074.79</v>
      </c>
      <c r="O32" s="6">
        <v>1496.89</v>
      </c>
      <c r="P32" s="6">
        <f t="shared" si="13"/>
        <v>6788.64</v>
      </c>
    </row>
    <row r="33" spans="1:16" ht="21" customHeight="1">
      <c r="A33" s="4" t="s">
        <v>58</v>
      </c>
      <c r="B33" s="5" t="s">
        <v>59</v>
      </c>
      <c r="C33" s="4" t="s">
        <v>16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f t="shared" si="13"/>
        <v>0</v>
      </c>
    </row>
    <row r="34" spans="1:16" ht="21.75" customHeight="1">
      <c r="A34" s="4" t="s">
        <v>60</v>
      </c>
      <c r="B34" s="5" t="s">
        <v>61</v>
      </c>
      <c r="C34" s="4" t="s">
        <v>16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f t="shared" si="13"/>
        <v>0</v>
      </c>
    </row>
    <row r="35" spans="1:16" ht="20.25" customHeight="1">
      <c r="A35" s="4" t="s">
        <v>62</v>
      </c>
      <c r="B35" s="5" t="s">
        <v>63</v>
      </c>
      <c r="C35" s="4" t="s">
        <v>16</v>
      </c>
      <c r="D35" s="6">
        <v>0.03</v>
      </c>
      <c r="E35" s="6">
        <v>0.03</v>
      </c>
      <c r="F35" s="6">
        <v>0.03</v>
      </c>
      <c r="G35" s="6">
        <v>12.12</v>
      </c>
      <c r="H35" s="6">
        <v>0.04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f t="shared" si="13"/>
        <v>12.249999999999998</v>
      </c>
    </row>
    <row r="36" spans="1:16">
      <c r="A36" s="4" t="s">
        <v>64</v>
      </c>
      <c r="B36" s="5" t="s">
        <v>65</v>
      </c>
      <c r="C36" s="4" t="s">
        <v>16</v>
      </c>
      <c r="D36" s="6">
        <v>242.55</v>
      </c>
      <c r="E36" s="6">
        <v>3363.1</v>
      </c>
      <c r="F36" s="6">
        <v>3341.12</v>
      </c>
      <c r="G36" s="6">
        <v>3325.93</v>
      </c>
      <c r="H36" s="6" t="s">
        <v>125</v>
      </c>
      <c r="I36" s="6">
        <v>0</v>
      </c>
      <c r="J36" s="6">
        <v>0</v>
      </c>
      <c r="K36" s="6">
        <v>0</v>
      </c>
      <c r="L36" s="6">
        <v>1.97</v>
      </c>
      <c r="M36" s="6">
        <v>12.14</v>
      </c>
      <c r="N36" s="6">
        <v>26.09</v>
      </c>
      <c r="O36" s="6">
        <v>28.89</v>
      </c>
      <c r="P36" s="6">
        <f t="shared" si="13"/>
        <v>10341.789999999999</v>
      </c>
    </row>
    <row r="37" spans="1:16" ht="19.5" customHeight="1">
      <c r="A37" s="4" t="s">
        <v>66</v>
      </c>
      <c r="B37" s="5" t="s">
        <v>67</v>
      </c>
      <c r="C37" s="4" t="s">
        <v>16</v>
      </c>
      <c r="D37" s="6">
        <v>7026.8</v>
      </c>
      <c r="E37" s="6">
        <v>5568.7</v>
      </c>
      <c r="F37" s="6">
        <v>6664.95</v>
      </c>
      <c r="G37" s="6">
        <v>6424.74</v>
      </c>
      <c r="H37" s="6" t="s">
        <v>126</v>
      </c>
      <c r="I37" s="6">
        <v>138.88</v>
      </c>
      <c r="J37" s="6">
        <v>0</v>
      </c>
      <c r="K37" s="6">
        <v>0</v>
      </c>
      <c r="L37" s="6">
        <v>1916.4</v>
      </c>
      <c r="M37" s="6">
        <v>9275.69</v>
      </c>
      <c r="N37" s="6">
        <v>9171.08</v>
      </c>
      <c r="O37" s="6">
        <v>9343.33</v>
      </c>
      <c r="P37" s="6">
        <f t="shared" si="13"/>
        <v>55530.570000000007</v>
      </c>
    </row>
    <row r="38" spans="1:16" ht="21.75" customHeight="1">
      <c r="A38" s="4" t="s">
        <v>69</v>
      </c>
      <c r="B38" s="5" t="s">
        <v>70</v>
      </c>
      <c r="C38" s="4" t="s">
        <v>16</v>
      </c>
      <c r="D38" s="6">
        <f>D29-SUM(D30:D37)</f>
        <v>3170.25</v>
      </c>
      <c r="E38" s="6">
        <f t="shared" ref="E38:O38" si="14">E29-SUM(E30:E37)</f>
        <v>2304.2600000000002</v>
      </c>
      <c r="F38" s="6">
        <f t="shared" si="14"/>
        <v>824.41999999999825</v>
      </c>
      <c r="G38" s="6">
        <f t="shared" si="14"/>
        <v>415.27000000000044</v>
      </c>
      <c r="H38" s="6">
        <f t="shared" si="14"/>
        <v>3600.7999999999993</v>
      </c>
      <c r="I38" s="6">
        <v>0</v>
      </c>
      <c r="J38" s="6">
        <v>0</v>
      </c>
      <c r="K38" s="6">
        <v>0</v>
      </c>
      <c r="L38" s="6">
        <f t="shared" si="14"/>
        <v>0</v>
      </c>
      <c r="M38" s="6">
        <f t="shared" si="14"/>
        <v>1210.9699999999993</v>
      </c>
      <c r="N38" s="6">
        <f t="shared" si="14"/>
        <v>953.15999999999985</v>
      </c>
      <c r="O38" s="6">
        <f t="shared" si="14"/>
        <v>770.36000000000058</v>
      </c>
      <c r="P38" s="6">
        <f t="shared" si="13"/>
        <v>13249.489999999998</v>
      </c>
    </row>
    <row r="39" spans="1:16" ht="38.25" customHeight="1">
      <c r="A39" s="4">
        <v>12</v>
      </c>
      <c r="B39" s="28" t="s">
        <v>140</v>
      </c>
      <c r="C39" s="29" t="s">
        <v>16</v>
      </c>
      <c r="D39" s="10">
        <f>SUM(D40:D49)</f>
        <v>7176.2372881355932</v>
      </c>
      <c r="E39" s="10">
        <f t="shared" ref="E39:O39" si="15">SUM(E40:E49)</f>
        <v>9672.6694915254229</v>
      </c>
      <c r="F39" s="10">
        <f t="shared" si="15"/>
        <v>10087.338983050846</v>
      </c>
      <c r="G39" s="10">
        <f t="shared" si="15"/>
        <v>15478.855932203389</v>
      </c>
      <c r="H39" s="10">
        <f t="shared" si="15"/>
        <v>10107.389830508475</v>
      </c>
      <c r="I39" s="10">
        <f t="shared" si="15"/>
        <v>4711.0847457627124</v>
      </c>
      <c r="J39" s="10">
        <f t="shared" si="15"/>
        <v>5657.3220338983056</v>
      </c>
      <c r="K39" s="10">
        <f t="shared" si="15"/>
        <v>684.80508474576277</v>
      </c>
      <c r="L39" s="10">
        <f t="shared" si="15"/>
        <v>1187.8813559322034</v>
      </c>
      <c r="M39" s="10">
        <f t="shared" si="15"/>
        <v>2167.9406779661017</v>
      </c>
      <c r="N39" s="10">
        <f t="shared" si="15"/>
        <v>9658.8983050847455</v>
      </c>
      <c r="O39" s="10">
        <f t="shared" si="15"/>
        <v>9708.6779661016953</v>
      </c>
      <c r="P39" s="10">
        <f t="shared" si="13"/>
        <v>86299.101694915254</v>
      </c>
    </row>
    <row r="40" spans="1:16">
      <c r="A40" s="4" t="s">
        <v>71</v>
      </c>
      <c r="B40" s="5" t="s">
        <v>53</v>
      </c>
      <c r="C40" s="4" t="s">
        <v>16</v>
      </c>
      <c r="D40" s="6">
        <f>8.08/1.18</f>
        <v>6.8474576271186445</v>
      </c>
      <c r="E40" s="6">
        <f>8.08/1.18</f>
        <v>6.8474576271186445</v>
      </c>
      <c r="F40" s="6">
        <f>186.62/1.18</f>
        <v>158.15254237288136</v>
      </c>
      <c r="G40" s="6">
        <f>121.73/1.18</f>
        <v>103.16101694915255</v>
      </c>
      <c r="H40" s="6">
        <f>3.65/1.18</f>
        <v>3.093220338983051</v>
      </c>
      <c r="I40" s="6">
        <f>93.6/1.18</f>
        <v>79.322033898305079</v>
      </c>
      <c r="J40" s="6">
        <f>34.96/1.18</f>
        <v>29.627118644067799</v>
      </c>
      <c r="K40" s="6">
        <v>0</v>
      </c>
      <c r="L40" s="6">
        <f>1.28/1.18</f>
        <v>1.0847457627118644</v>
      </c>
      <c r="M40" s="6">
        <f>12.42/1.18</f>
        <v>10.525423728813561</v>
      </c>
      <c r="N40" s="6">
        <f>61.52/1.18</f>
        <v>52.13559322033899</v>
      </c>
      <c r="O40" s="6">
        <f>214.4/1.18</f>
        <v>181.69491525423732</v>
      </c>
      <c r="P40" s="6">
        <f t="shared" si="13"/>
        <v>632.49152542372883</v>
      </c>
    </row>
    <row r="41" spans="1:16">
      <c r="A41" s="4" t="s">
        <v>72</v>
      </c>
      <c r="B41" s="5" t="s">
        <v>55</v>
      </c>
      <c r="C41" s="4" t="s">
        <v>16</v>
      </c>
      <c r="D41" s="6">
        <f>11.39/1.18</f>
        <v>9.6525423728813564</v>
      </c>
      <c r="E41" s="6">
        <f>2.13/1.18</f>
        <v>1.8050847457627119</v>
      </c>
      <c r="F41" s="6">
        <f>1891.7/1.18</f>
        <v>1603.1355932203392</v>
      </c>
      <c r="G41" s="6">
        <f>934.44/1.18</f>
        <v>791.89830508474586</v>
      </c>
      <c r="H41" s="6">
        <f>456.36/1.18</f>
        <v>386.74576271186442</v>
      </c>
      <c r="I41" s="6">
        <f>235.81/1.18</f>
        <v>199.83898305084747</v>
      </c>
      <c r="J41" s="6">
        <f>19/1.18</f>
        <v>16.101694915254239</v>
      </c>
      <c r="K41" s="6">
        <f>0.24/1.18</f>
        <v>0.20338983050847459</v>
      </c>
      <c r="L41" s="6">
        <f>127.21/1.18</f>
        <v>107.80508474576271</v>
      </c>
      <c r="M41" s="6">
        <f>194.59/1.18</f>
        <v>164.90677966101697</v>
      </c>
      <c r="N41" s="6">
        <f>469.32/1.18</f>
        <v>397.72881355932208</v>
      </c>
      <c r="O41" s="6">
        <f>1109.9/1.18</f>
        <v>940.5932203389832</v>
      </c>
      <c r="P41" s="6">
        <f t="shared" si="13"/>
        <v>4620.4152542372885</v>
      </c>
    </row>
    <row r="42" spans="1:16">
      <c r="A42" s="4" t="s">
        <v>73</v>
      </c>
      <c r="B42" s="5" t="s">
        <v>57</v>
      </c>
      <c r="C42" s="4" t="s">
        <v>16</v>
      </c>
      <c r="D42" s="6">
        <f>39.32/1.18</f>
        <v>33.322033898305087</v>
      </c>
      <c r="E42" s="6">
        <f>5.67/1.18</f>
        <v>4.8050847457627119</v>
      </c>
      <c r="F42" s="6">
        <f>1022.84/1.18</f>
        <v>866.81355932203394</v>
      </c>
      <c r="G42" s="6">
        <f>4090.9/1.18</f>
        <v>3466.8644067796613</v>
      </c>
      <c r="H42" s="6">
        <f>1339.73/1.18</f>
        <v>1135.3644067796611</v>
      </c>
      <c r="I42" s="6">
        <f>44.6/1.18</f>
        <v>37.79661016949153</v>
      </c>
      <c r="J42" s="6">
        <f>48.06/1.18</f>
        <v>40.728813559322035</v>
      </c>
      <c r="K42" s="6">
        <f>4.19/1.18</f>
        <v>3.550847457627119</v>
      </c>
      <c r="L42" s="6">
        <f>248.81/1.18</f>
        <v>210.85593220338984</v>
      </c>
      <c r="M42" s="6">
        <f>1390.91/1.18</f>
        <v>1178.7372881355934</v>
      </c>
      <c r="N42" s="6">
        <f>1598.91/1.18</f>
        <v>1355.0084745762713</v>
      </c>
      <c r="O42" s="6">
        <f>22.88/1.18</f>
        <v>19.389830508474578</v>
      </c>
      <c r="P42" s="6">
        <f t="shared" si="13"/>
        <v>8353.237288135595</v>
      </c>
    </row>
    <row r="43" spans="1:16">
      <c r="A43" s="4" t="s">
        <v>74</v>
      </c>
      <c r="B43" s="5" t="s">
        <v>59</v>
      </c>
      <c r="C43" s="4" t="s">
        <v>16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f t="shared" si="13"/>
        <v>0</v>
      </c>
    </row>
    <row r="44" spans="1:16">
      <c r="A44" s="4" t="s">
        <v>75</v>
      </c>
      <c r="B44" s="5" t="s">
        <v>61</v>
      </c>
      <c r="C44" s="4" t="s">
        <v>16</v>
      </c>
      <c r="D44" s="6">
        <f>169.91/1.18</f>
        <v>143.99152542372883</v>
      </c>
      <c r="E44" s="6">
        <f>151.21/1.18</f>
        <v>128.14406779661019</v>
      </c>
      <c r="F44" s="6">
        <v>0</v>
      </c>
      <c r="G44" s="6">
        <f>81.69/1.18</f>
        <v>69.228813559322035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f t="shared" si="13"/>
        <v>341.36440677966107</v>
      </c>
    </row>
    <row r="45" spans="1:16">
      <c r="A45" s="4" t="s">
        <v>76</v>
      </c>
      <c r="B45" s="5" t="s">
        <v>63</v>
      </c>
      <c r="C45" s="4" t="s">
        <v>16</v>
      </c>
      <c r="D45" s="6">
        <v>0</v>
      </c>
      <c r="E45" s="6">
        <v>0</v>
      </c>
      <c r="F45" s="6">
        <v>0</v>
      </c>
      <c r="G45" s="6">
        <f>14.27/1.18</f>
        <v>12.093220338983052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f t="shared" si="13"/>
        <v>12.093220338983052</v>
      </c>
    </row>
    <row r="46" spans="1:16">
      <c r="A46" s="4" t="s">
        <v>77</v>
      </c>
      <c r="B46" s="5" t="s">
        <v>65</v>
      </c>
      <c r="C46" s="4" t="s">
        <v>16</v>
      </c>
      <c r="D46" s="6">
        <f>895.16/1.18</f>
        <v>758.61016949152543</v>
      </c>
      <c r="E46" s="6">
        <f>2863.87/1.18</f>
        <v>2427.0084745762711</v>
      </c>
      <c r="F46" s="6">
        <f>3291.58/1.18</f>
        <v>2789.4745762711864</v>
      </c>
      <c r="G46" s="6">
        <f>3489.99/1.18</f>
        <v>2957.6186440677966</v>
      </c>
      <c r="H46" s="6">
        <f>3536.9/1.18</f>
        <v>2997.3728813559323</v>
      </c>
      <c r="I46" s="6">
        <f>1832.96/1.18</f>
        <v>1553.35593220339</v>
      </c>
      <c r="J46" s="6">
        <f>4980.67/1.18</f>
        <v>4220.906779661017</v>
      </c>
      <c r="K46" s="6">
        <f>239.69/1.18</f>
        <v>203.12711864406779</v>
      </c>
      <c r="L46" s="6">
        <f>441.29/1.18</f>
        <v>373.97457627118649</v>
      </c>
      <c r="M46" s="6">
        <f>434.14/1.18</f>
        <v>367.91525423728814</v>
      </c>
      <c r="N46" s="6">
        <f>640.62/1.18</f>
        <v>542.89830508474574</v>
      </c>
      <c r="O46" s="6">
        <f>1803.26/1.18</f>
        <v>1528.1864406779662</v>
      </c>
      <c r="P46" s="6">
        <f t="shared" si="13"/>
        <v>20720.449152542373</v>
      </c>
    </row>
    <row r="47" spans="1:16">
      <c r="A47" s="4" t="s">
        <v>78</v>
      </c>
      <c r="B47" s="5" t="s">
        <v>67</v>
      </c>
      <c r="C47" s="4" t="s">
        <v>16</v>
      </c>
      <c r="D47" s="6">
        <f>6544.36/1.18</f>
        <v>5546.0677966101694</v>
      </c>
      <c r="E47" s="6">
        <f>7389.03/1.18</f>
        <v>6261.8898305084749</v>
      </c>
      <c r="F47" s="6">
        <f>4547.83/1.18</f>
        <v>3854.093220338983</v>
      </c>
      <c r="G47" s="6">
        <f>7731.25/1.18</f>
        <v>6551.906779661017</v>
      </c>
      <c r="H47" s="6">
        <f>5900.67/1.18</f>
        <v>5000.5677966101703</v>
      </c>
      <c r="I47" s="6">
        <f>2697.12/1.18</f>
        <v>2285.6949152542375</v>
      </c>
      <c r="J47" s="6">
        <f>1310/1.18</f>
        <v>1110.1694915254238</v>
      </c>
      <c r="K47" s="6">
        <f>464.14/1.18</f>
        <v>393.33898305084745</v>
      </c>
      <c r="L47" s="6">
        <f>466.51/1.18</f>
        <v>395.34745762711867</v>
      </c>
      <c r="M47" s="6">
        <f>342/1.18</f>
        <v>289.83050847457628</v>
      </c>
      <c r="N47" s="6">
        <f>8062.59/1.18</f>
        <v>6832.703389830509</v>
      </c>
      <c r="O47" s="6">
        <f>7481.25/1.18</f>
        <v>6340.0423728813566</v>
      </c>
      <c r="P47" s="6">
        <f t="shared" si="13"/>
        <v>44861.652542372882</v>
      </c>
    </row>
    <row r="48" spans="1:16">
      <c r="A48" s="4" t="s">
        <v>79</v>
      </c>
      <c r="B48" s="5" t="s">
        <v>68</v>
      </c>
      <c r="C48" s="4" t="s">
        <v>16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f t="shared" si="13"/>
        <v>0</v>
      </c>
    </row>
    <row r="49" spans="1:16">
      <c r="A49" s="4" t="s">
        <v>80</v>
      </c>
      <c r="B49" s="5" t="s">
        <v>70</v>
      </c>
      <c r="C49" s="4" t="s">
        <v>16</v>
      </c>
      <c r="D49" s="6">
        <f>799.74/1.18</f>
        <v>677.74576271186447</v>
      </c>
      <c r="E49" s="6">
        <f>993.76/1.18</f>
        <v>842.16949152542372</v>
      </c>
      <c r="F49" s="6">
        <f>962.49/1.18</f>
        <v>815.66949152542372</v>
      </c>
      <c r="G49" s="6">
        <f>1800.78/1.18</f>
        <v>1526.0847457627119</v>
      </c>
      <c r="H49" s="6">
        <f>689.41/1.18</f>
        <v>584.24576271186436</v>
      </c>
      <c r="I49" s="6">
        <f>654.99/1.18</f>
        <v>555.07627118644075</v>
      </c>
      <c r="J49" s="6">
        <f>282.95/1.18</f>
        <v>239.78813559322035</v>
      </c>
      <c r="K49" s="6">
        <f>99.81/1.18</f>
        <v>84.584745762711876</v>
      </c>
      <c r="L49" s="6">
        <f>116.6/1.18</f>
        <v>98.813559322033896</v>
      </c>
      <c r="M49" s="6">
        <f>184.11/1.18</f>
        <v>156.02542372881359</v>
      </c>
      <c r="N49" s="6">
        <f>564.54/1.18</f>
        <v>478.42372881355931</v>
      </c>
      <c r="O49" s="6">
        <f>824.55/1.18</f>
        <v>698.77118644067798</v>
      </c>
      <c r="P49" s="6">
        <f t="shared" si="13"/>
        <v>6757.3983050847464</v>
      </c>
    </row>
    <row r="50" spans="1:16" ht="44.25" customHeight="1">
      <c r="A50" s="4">
        <v>13</v>
      </c>
      <c r="B50" s="5" t="s">
        <v>157</v>
      </c>
      <c r="C50" s="4" t="s">
        <v>16</v>
      </c>
      <c r="D50" s="6">
        <f>D39-D29</f>
        <v>-5835.3627118644072</v>
      </c>
      <c r="E50" s="6">
        <f t="shared" ref="E50:P50" si="16">E39-E29</f>
        <v>-2588.9305084745774</v>
      </c>
      <c r="F50" s="6">
        <f t="shared" si="16"/>
        <v>-2710.4610169491534</v>
      </c>
      <c r="G50" s="6">
        <f t="shared" si="16"/>
        <v>4145.8559322033889</v>
      </c>
      <c r="H50" s="6">
        <f t="shared" si="16"/>
        <v>5350.9898305084753</v>
      </c>
      <c r="I50" s="6">
        <f t="shared" si="16"/>
        <v>4711.0847457627124</v>
      </c>
      <c r="J50" s="6">
        <f t="shared" si="16"/>
        <v>5657.3220338983056</v>
      </c>
      <c r="K50" s="6">
        <f t="shared" si="16"/>
        <v>684.80508474576277</v>
      </c>
      <c r="L50" s="6">
        <f t="shared" si="16"/>
        <v>-936.01864406779669</v>
      </c>
      <c r="M50" s="6">
        <f t="shared" si="16"/>
        <v>-8911.9593220338975</v>
      </c>
      <c r="N50" s="6">
        <f t="shared" si="16"/>
        <v>-2323.7016949152548</v>
      </c>
      <c r="O50" s="6">
        <f t="shared" si="16"/>
        <v>-2884.5220338983054</v>
      </c>
      <c r="P50" s="6">
        <f t="shared" si="16"/>
        <v>-5640.8983050847455</v>
      </c>
    </row>
    <row r="51" spans="1:16" ht="38.25" customHeight="1">
      <c r="A51" s="72" t="s">
        <v>155</v>
      </c>
      <c r="B51" s="73"/>
      <c r="C51" s="51" t="s">
        <v>16</v>
      </c>
      <c r="D51" s="47">
        <f>D29-D26</f>
        <v>1445.674983050847</v>
      </c>
      <c r="E51" s="47">
        <f t="shared" ref="E51:P51" si="17">E29-E26</f>
        <v>1266.4197288135601</v>
      </c>
      <c r="F51" s="47">
        <f t="shared" si="17"/>
        <v>1315.2309322033889</v>
      </c>
      <c r="G51" s="47">
        <f t="shared" si="17"/>
        <v>2009.90771338983</v>
      </c>
      <c r="H51" s="47">
        <f t="shared" si="17"/>
        <v>-1456.019406779661</v>
      </c>
      <c r="I51" s="47">
        <f t="shared" si="17"/>
        <v>-1787.5953970169489</v>
      </c>
      <c r="J51" s="47">
        <f t="shared" si="17"/>
        <v>-1706.868142</v>
      </c>
      <c r="K51" s="47">
        <f t="shared" si="17"/>
        <v>-1332.2973430000002</v>
      </c>
      <c r="L51" s="47">
        <f t="shared" si="17"/>
        <v>-1275.728581525424</v>
      </c>
      <c r="M51" s="47">
        <f t="shared" si="17"/>
        <v>511.24745762711791</v>
      </c>
      <c r="N51" s="47">
        <f t="shared" si="17"/>
        <v>2165.471922711864</v>
      </c>
      <c r="O51" s="47">
        <f t="shared" si="17"/>
        <v>-539.07845762711804</v>
      </c>
      <c r="P51" s="47">
        <f t="shared" si="17"/>
        <v>616.36540984746534</v>
      </c>
    </row>
    <row r="52" spans="1:16" ht="33" customHeight="1">
      <c r="A52" s="74" t="s">
        <v>156</v>
      </c>
      <c r="B52" s="75"/>
      <c r="C52" s="4" t="s">
        <v>16</v>
      </c>
      <c r="D52" s="6">
        <f>D39-D26</f>
        <v>-4389.6877288135602</v>
      </c>
      <c r="E52" s="6">
        <f t="shared" ref="E52:P52" si="18">E39-E26</f>
        <v>-1322.5107796610173</v>
      </c>
      <c r="F52" s="6">
        <f t="shared" si="18"/>
        <v>-1395.2300847457645</v>
      </c>
      <c r="G52" s="6">
        <f t="shared" si="18"/>
        <v>6155.7636455932188</v>
      </c>
      <c r="H52" s="6">
        <f t="shared" si="18"/>
        <v>3894.9704237288142</v>
      </c>
      <c r="I52" s="6">
        <f t="shared" si="18"/>
        <v>2923.4893487457634</v>
      </c>
      <c r="J52" s="6">
        <f t="shared" si="18"/>
        <v>3950.4538918983053</v>
      </c>
      <c r="K52" s="6">
        <f t="shared" si="18"/>
        <v>-647.49225825423741</v>
      </c>
      <c r="L52" s="6">
        <f t="shared" si="18"/>
        <v>-2211.7472255932207</v>
      </c>
      <c r="M52" s="6">
        <f t="shared" si="18"/>
        <v>-8400.7118644067796</v>
      </c>
      <c r="N52" s="6">
        <f t="shared" si="18"/>
        <v>-158.22977220339089</v>
      </c>
      <c r="O52" s="6">
        <f t="shared" si="18"/>
        <v>-3423.6004915254234</v>
      </c>
      <c r="P52" s="6">
        <f t="shared" si="18"/>
        <v>-5024.5328952372802</v>
      </c>
    </row>
    <row r="53" spans="1:16">
      <c r="A53" s="2"/>
      <c r="B53" s="3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>
      <c r="A54" s="2"/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>
      <c r="A55" s="2"/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>
      <c r="A56" s="2"/>
      <c r="B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>
      <c r="A57" s="2"/>
      <c r="B57" s="3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>
      <c r="A58" s="2"/>
      <c r="B58" s="3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>
      <c r="A59" s="2"/>
      <c r="B59" s="3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>
      <c r="A60" s="2"/>
      <c r="B60" s="3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>
      <c r="A61" s="2"/>
      <c r="B61" s="3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>
      <c r="A62" s="2"/>
      <c r="B62" s="3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>
      <c r="A63" s="2"/>
      <c r="B63" s="3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>
      <c r="A64" s="2"/>
      <c r="B64" s="3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>
      <c r="A65" s="2"/>
      <c r="B65" s="3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>
      <c r="A66" s="2"/>
      <c r="B66" s="3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>
      <c r="A67" s="2"/>
      <c r="B67" s="3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>
      <c r="A68" s="2"/>
      <c r="B68" s="3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>
      <c r="A69" s="2"/>
      <c r="B69" s="3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>
      <c r="A70" s="2"/>
      <c r="B70" s="3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>
      <c r="A71" s="2"/>
      <c r="B71" s="3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>
      <c r="A72" s="2"/>
      <c r="B72" s="3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>
      <c r="A73" s="2"/>
      <c r="B73" s="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>
      <c r="A74" s="2"/>
      <c r="B74" s="3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>
      <c r="A75" s="2"/>
      <c r="B75" s="3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>
      <c r="A76" s="2"/>
      <c r="B76" s="3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>
      <c r="A77" s="2"/>
      <c r="B77" s="3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>
      <c r="A78" s="2"/>
      <c r="B78" s="3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>
      <c r="A79" s="2"/>
      <c r="B79" s="3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>
      <c r="A81" s="2"/>
      <c r="B81" s="3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>
      <c r="A82" s="2"/>
      <c r="B82" s="3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>
      <c r="A83" s="2"/>
      <c r="B83" s="3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>
      <c r="A84" s="2"/>
      <c r="B84" s="3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>
      <c r="A85" s="2"/>
      <c r="B85" s="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>
      <c r="A86" s="2"/>
      <c r="B86" s="3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>
      <c r="A87" s="2"/>
      <c r="B87" s="3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>
      <c r="A88" s="2"/>
      <c r="B88" s="3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>
      <c r="A89" s="2"/>
      <c r="B89" s="3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>
      <c r="A90" s="2"/>
      <c r="B90" s="3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>
      <c r="A91" s="2"/>
      <c r="B91" s="3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>
      <c r="A92" s="2"/>
      <c r="B92" s="3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>
      <c r="A93" s="2"/>
      <c r="B93" s="3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>
      <c r="A94" s="2"/>
      <c r="B94" s="3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>
      <c r="A95" s="2"/>
      <c r="B95" s="3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>
      <c r="A96" s="2"/>
      <c r="B96" s="3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>
      <c r="A97" s="2"/>
      <c r="B97" s="3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>
      <c r="A98" s="2"/>
      <c r="B98" s="3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>
      <c r="A99" s="2"/>
      <c r="B99" s="3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>
      <c r="A100" s="2"/>
      <c r="B100" s="3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>
      <c r="A101" s="2"/>
      <c r="B101" s="3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>
      <c r="A102" s="2"/>
      <c r="B102" s="3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>
      <c r="A103" s="2"/>
      <c r="B103" s="3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>
      <c r="A104" s="2"/>
      <c r="B104" s="3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>
      <c r="A105" s="2"/>
      <c r="B105" s="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>
      <c r="A106" s="2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>
      <c r="A107" s="2"/>
      <c r="B107" s="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>
      <c r="A108" s="2"/>
      <c r="B108" s="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>
      <c r="A109" s="2"/>
      <c r="B109" s="3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>
      <c r="A110" s="2"/>
      <c r="B110" s="3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>
      <c r="A111" s="2"/>
      <c r="B111" s="3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>
      <c r="A112" s="2"/>
      <c r="B112" s="3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>
      <c r="A113" s="2"/>
      <c r="B113" s="3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>
      <c r="A114" s="2"/>
      <c r="B114" s="3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>
      <c r="A115" s="2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>
      <c r="A116" s="2"/>
      <c r="B116" s="3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>
      <c r="A117" s="2"/>
      <c r="B117" s="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>
      <c r="A118" s="2"/>
      <c r="B118" s="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>
      <c r="A119" s="2"/>
      <c r="B119" s="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>
      <c r="A120" s="2"/>
      <c r="B120" s="3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>
      <c r="A121" s="2"/>
      <c r="B121" s="3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>
      <c r="A122" s="2"/>
      <c r="B122" s="3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>
      <c r="A123" s="2"/>
      <c r="B123" s="3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>
      <c r="A124" s="2"/>
      <c r="B124" s="3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>
      <c r="A125" s="2"/>
      <c r="B125" s="3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>
      <c r="A126" s="2"/>
      <c r="B126" s="3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>
      <c r="A127" s="2"/>
      <c r="B127" s="3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>
      <c r="A128" s="2"/>
      <c r="B128" s="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>
      <c r="A129" s="2"/>
      <c r="B129" s="3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>
      <c r="A130" s="2"/>
      <c r="B130" s="3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>
      <c r="A131" s="2"/>
      <c r="B131" s="3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>
      <c r="A132" s="2"/>
      <c r="B132" s="3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>
      <c r="A133" s="2"/>
      <c r="B133" s="3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>
      <c r="A134" s="2"/>
      <c r="B134" s="3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>
      <c r="A135" s="2"/>
      <c r="B135" s="3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>
      <c r="A136" s="2"/>
      <c r="B136" s="3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>
      <c r="A137" s="2"/>
      <c r="B137" s="3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>
      <c r="A138" s="2"/>
      <c r="B138" s="3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>
      <c r="A139" s="2"/>
      <c r="B139" s="3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>
      <c r="A140" s="2"/>
      <c r="B140" s="3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>
      <c r="A141" s="2"/>
      <c r="B141" s="3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>
      <c r="A142" s="2"/>
      <c r="B142" s="3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>
      <c r="A143" s="2"/>
      <c r="B143" s="3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>
      <c r="A144" s="2"/>
      <c r="B144" s="3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>
      <c r="A145" s="2"/>
      <c r="B145" s="3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>
      <c r="A146" s="2"/>
      <c r="B146" s="3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>
      <c r="A147" s="2"/>
      <c r="B147" s="3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>
      <c r="A148" s="2"/>
      <c r="B148" s="3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>
      <c r="A149" s="2"/>
      <c r="B149" s="3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>
      <c r="A150" s="2"/>
      <c r="B150" s="3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>
      <c r="A151" s="2"/>
      <c r="B151" s="3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>
      <c r="A152" s="2"/>
      <c r="B152" s="3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>
      <c r="A153" s="2"/>
      <c r="B153" s="3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>
      <c r="A154" s="2"/>
      <c r="B154" s="3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>
      <c r="A155" s="2"/>
      <c r="B155" s="3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>
      <c r="A156" s="2"/>
      <c r="B156" s="3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>
      <c r="A157" s="2"/>
      <c r="B157" s="3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>
      <c r="A158" s="2"/>
      <c r="B158" s="3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>
      <c r="A159" s="2"/>
      <c r="B159" s="3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>
      <c r="A160" s="2"/>
      <c r="B160" s="3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>
      <c r="A161" s="2"/>
      <c r="B161" s="3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>
      <c r="A162" s="2"/>
      <c r="B162" s="3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>
      <c r="A163" s="2"/>
      <c r="B163" s="3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>
      <c r="A164" s="2"/>
      <c r="B164" s="3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>
      <c r="A165" s="2"/>
      <c r="B165" s="3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>
      <c r="A166" s="2"/>
      <c r="B166" s="3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>
      <c r="A167" s="2"/>
      <c r="B167" s="3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>
      <c r="A168" s="2"/>
      <c r="B168" s="3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>
      <c r="A169" s="2"/>
      <c r="B169" s="3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>
      <c r="A170" s="2"/>
      <c r="B170" s="3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>
      <c r="A171" s="2"/>
      <c r="B171" s="3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>
      <c r="A172" s="2"/>
      <c r="B172" s="3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>
      <c r="A173" s="2"/>
      <c r="B173" s="3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>
      <c r="A174" s="2"/>
      <c r="B174" s="3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>
      <c r="A175" s="2"/>
      <c r="B175" s="3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>
      <c r="A176" s="2"/>
      <c r="B176" s="3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>
      <c r="A177" s="2"/>
      <c r="B177" s="3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>
      <c r="A178" s="2"/>
      <c r="B178" s="3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>
      <c r="A179" s="2"/>
      <c r="B179" s="3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>
      <c r="A180" s="2"/>
      <c r="B180" s="3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>
      <c r="A181" s="2"/>
      <c r="B181" s="3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>
      <c r="A182" s="2"/>
      <c r="B182" s="3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>
      <c r="A183" s="2"/>
      <c r="B183" s="3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>
      <c r="A184" s="2"/>
      <c r="B184" s="3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>
      <c r="A185" s="2"/>
      <c r="B185" s="3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>
      <c r="A186" s="2"/>
      <c r="B186" s="3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>
      <c r="A187" s="2"/>
      <c r="B187" s="3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>
      <c r="A188" s="2"/>
      <c r="B188" s="3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>
      <c r="A189" s="2"/>
      <c r="B189" s="3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>
      <c r="A190" s="2"/>
      <c r="B190" s="3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>
      <c r="A191" s="2"/>
      <c r="B191" s="3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>
      <c r="A192" s="2"/>
      <c r="B192" s="3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>
      <c r="A193" s="2"/>
      <c r="B193" s="3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>
      <c r="A194" s="2"/>
      <c r="B194" s="3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>
      <c r="A195" s="2"/>
      <c r="B195" s="3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>
      <c r="A196" s="2"/>
      <c r="B196" s="3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>
      <c r="A197" s="2"/>
      <c r="B197" s="3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>
      <c r="A198" s="2"/>
      <c r="B198" s="3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>
      <c r="A199" s="2"/>
      <c r="B199" s="3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>
      <c r="A200" s="2"/>
      <c r="B200" s="3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>
      <c r="A201" s="2"/>
      <c r="B201" s="3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>
      <c r="A202" s="2"/>
      <c r="B202" s="3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>
      <c r="A203" s="2"/>
      <c r="B203" s="3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>
      <c r="A204" s="2"/>
      <c r="B204" s="3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>
      <c r="A205" s="2"/>
      <c r="B205" s="3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>
      <c r="A206" s="2"/>
      <c r="B206" s="3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>
      <c r="A207" s="2"/>
      <c r="B207" s="3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>
      <c r="A208" s="2"/>
      <c r="B208" s="3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>
      <c r="A209" s="2"/>
      <c r="B209" s="3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>
      <c r="A210" s="2"/>
      <c r="B210" s="3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>
      <c r="A211" s="2"/>
      <c r="B211" s="3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>
      <c r="A212" s="2"/>
      <c r="B212" s="3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>
      <c r="A213" s="2"/>
      <c r="B213" s="3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>
      <c r="A214" s="2"/>
      <c r="B214" s="3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>
      <c r="A215" s="2"/>
      <c r="B215" s="3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>
      <c r="A216" s="2"/>
      <c r="B216" s="3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>
      <c r="A217" s="2"/>
      <c r="B217" s="3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>
      <c r="A218" s="2"/>
      <c r="B218" s="3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>
      <c r="A219" s="2"/>
      <c r="B219" s="3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>
      <c r="A220" s="2"/>
      <c r="B220" s="3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>
      <c r="A221" s="2"/>
      <c r="B221" s="3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>
      <c r="A222" s="2"/>
      <c r="B222" s="3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>
      <c r="A223" s="2"/>
      <c r="B223" s="3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>
      <c r="A224" s="2"/>
      <c r="B224" s="3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>
      <c r="A225" s="2"/>
      <c r="B225" s="3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>
      <c r="A226" s="2"/>
      <c r="B226" s="3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>
      <c r="A227" s="2"/>
      <c r="B227" s="3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>
      <c r="A228" s="2"/>
      <c r="B228" s="3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>
      <c r="A229" s="2"/>
      <c r="B229" s="3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>
      <c r="A230" s="2"/>
      <c r="B230" s="3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>
      <c r="A231" s="2"/>
      <c r="B231" s="3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>
      <c r="A232" s="2"/>
      <c r="B232" s="3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>
      <c r="A233" s="2"/>
      <c r="B233" s="3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>
      <c r="A234" s="2"/>
      <c r="B234" s="3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>
      <c r="A235" s="2"/>
      <c r="B235" s="3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>
      <c r="A236" s="2"/>
      <c r="B236" s="3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>
      <c r="A237" s="2"/>
      <c r="B237" s="3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>
      <c r="A238" s="2"/>
      <c r="B238" s="3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>
      <c r="A239" s="2"/>
      <c r="B239" s="3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>
      <c r="A240" s="2"/>
      <c r="B240" s="3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>
      <c r="A241" s="2"/>
      <c r="B241" s="3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>
      <c r="A242" s="2"/>
      <c r="B242" s="3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>
      <c r="A243" s="2"/>
      <c r="B243" s="3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>
      <c r="A244" s="2"/>
      <c r="B244" s="3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>
      <c r="A245" s="2"/>
      <c r="B245" s="3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>
      <c r="A246" s="2"/>
      <c r="B246" s="3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>
      <c r="A247" s="2"/>
      <c r="B247" s="3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>
      <c r="A248" s="2"/>
      <c r="B248" s="3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>
      <c r="A249" s="2"/>
      <c r="B249" s="3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>
      <c r="A250" s="2"/>
      <c r="B250" s="3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>
      <c r="A251" s="2"/>
      <c r="B251" s="3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>
      <c r="A252" s="2"/>
      <c r="B252" s="3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>
      <c r="A253" s="2"/>
      <c r="B253" s="3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>
      <c r="A254" s="2"/>
      <c r="B254" s="3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>
      <c r="A255" s="2"/>
      <c r="B255" s="3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>
      <c r="A256" s="2"/>
      <c r="B256" s="3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>
      <c r="A257" s="2"/>
      <c r="B257" s="3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>
      <c r="A258" s="2"/>
      <c r="B258" s="3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>
      <c r="A259" s="2"/>
      <c r="B259" s="3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>
      <c r="A260" s="2"/>
      <c r="B260" s="3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>
      <c r="A261" s="2"/>
      <c r="B261" s="3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>
      <c r="A262" s="2"/>
      <c r="B262" s="3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>
      <c r="A263" s="2"/>
      <c r="B263" s="3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>
      <c r="A264" s="2"/>
      <c r="B264" s="3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>
      <c r="A265" s="2"/>
      <c r="B265" s="3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>
      <c r="A266" s="2"/>
      <c r="B266" s="3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>
      <c r="A267" s="2"/>
      <c r="B267" s="3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>
      <c r="A268" s="2"/>
      <c r="B268" s="3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>
      <c r="A269" s="2"/>
      <c r="B269" s="3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>
      <c r="A270" s="2"/>
      <c r="B270" s="3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>
      <c r="A271" s="2"/>
      <c r="B271" s="3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>
      <c r="A272" s="2"/>
      <c r="B272" s="3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>
      <c r="A273" s="2"/>
      <c r="B273" s="3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>
      <c r="A274" s="2"/>
      <c r="B274" s="3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>
      <c r="A275" s="2"/>
      <c r="B275" s="3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>
      <c r="A276" s="2"/>
      <c r="B276" s="3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>
      <c r="A277" s="2"/>
      <c r="B277" s="3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>
      <c r="A278" s="2"/>
      <c r="B278" s="3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>
      <c r="A279" s="2"/>
      <c r="B279" s="3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>
      <c r="A280" s="2"/>
      <c r="B280" s="3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>
      <c r="A281" s="2"/>
      <c r="B281" s="3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>
      <c r="A282" s="2"/>
      <c r="B282" s="3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>
      <c r="A283" s="2"/>
      <c r="B283" s="3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>
      <c r="A284" s="2"/>
      <c r="B284" s="3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>
      <c r="A285" s="2"/>
      <c r="B285" s="3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>
      <c r="A286" s="2"/>
      <c r="B286" s="3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>
      <c r="A287" s="2"/>
      <c r="B287" s="3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>
      <c r="A288" s="2"/>
      <c r="B288" s="3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>
      <c r="A289" s="2"/>
      <c r="B289" s="3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>
      <c r="A290" s="2"/>
      <c r="B290" s="3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>
      <c r="A291" s="2"/>
      <c r="B291" s="3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>
      <c r="A292" s="2"/>
      <c r="B292" s="3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>
      <c r="A293" s="2"/>
      <c r="B293" s="3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>
      <c r="A294" s="2"/>
      <c r="B294" s="3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>
      <c r="A295" s="2"/>
      <c r="B295" s="3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>
      <c r="A296" s="2"/>
      <c r="B296" s="3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>
      <c r="A297" s="2"/>
      <c r="B297" s="3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>
      <c r="A298" s="2"/>
      <c r="B298" s="3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>
      <c r="A299" s="2"/>
      <c r="B299" s="3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>
      <c r="A300" s="2"/>
      <c r="B300" s="3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>
      <c r="A301" s="2"/>
      <c r="B301" s="3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>
      <c r="A302" s="2"/>
      <c r="B302" s="3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>
      <c r="A303" s="2"/>
      <c r="B303" s="3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>
      <c r="A304" s="2"/>
      <c r="B304" s="3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>
      <c r="A305" s="2"/>
      <c r="B305" s="3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>
      <c r="A306" s="2"/>
      <c r="B306" s="3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>
      <c r="A307" s="2"/>
      <c r="B307" s="3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>
      <c r="A308" s="2"/>
      <c r="B308" s="3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>
      <c r="A309" s="2"/>
      <c r="B309" s="3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>
      <c r="A310" s="2"/>
      <c r="B310" s="3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1:1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1:16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1:16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1:16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1:16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1:16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1:16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1:16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1:16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1:16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</sheetData>
  <mergeCells count="5">
    <mergeCell ref="A52:B52"/>
    <mergeCell ref="A1:P1"/>
    <mergeCell ref="A3:P3"/>
    <mergeCell ref="A51:B51"/>
    <mergeCell ref="A28:P28"/>
  </mergeCells>
  <pageMargins left="0.6692913385826772" right="0.70866141732283472" top="0.19685039370078741" bottom="0.74803149606299213" header="0.11811023622047245" footer="0.31496062992125984"/>
  <pageSetup paperSize="9" scale="5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32"/>
  <sheetViews>
    <sheetView topLeftCell="A16" zoomScale="60" zoomScaleNormal="60" workbookViewId="0">
      <selection activeCell="S41" sqref="S41"/>
    </sheetView>
  </sheetViews>
  <sheetFormatPr defaultRowHeight="15"/>
  <cols>
    <col min="1" max="1" width="7.28515625" style="1" customWidth="1"/>
    <col min="2" max="2" width="42.5703125" style="1" customWidth="1"/>
    <col min="3" max="3" width="10" style="1" customWidth="1"/>
    <col min="4" max="4" width="12" style="1" bestFit="1" customWidth="1"/>
    <col min="5" max="5" width="11.42578125" style="1" customWidth="1"/>
    <col min="6" max="6" width="11.5703125" style="1" customWidth="1"/>
    <col min="7" max="7" width="14.42578125" style="1" customWidth="1"/>
    <col min="8" max="8" width="14.85546875" style="1" customWidth="1"/>
    <col min="9" max="9" width="13.85546875" style="1" customWidth="1"/>
    <col min="10" max="10" width="14.42578125" style="1" customWidth="1"/>
    <col min="11" max="11" width="13.85546875" style="1" customWidth="1"/>
    <col min="12" max="12" width="14.7109375" style="1" customWidth="1"/>
    <col min="13" max="13" width="13.85546875" style="1" customWidth="1"/>
    <col min="14" max="14" width="13" style="1" customWidth="1"/>
    <col min="15" max="15" width="13.140625" style="1" customWidth="1"/>
    <col min="16" max="16" width="15.5703125" style="1" customWidth="1"/>
    <col min="17" max="16384" width="9.140625" style="1"/>
  </cols>
  <sheetData>
    <row r="1" spans="1:16" ht="26.25" customHeight="1">
      <c r="A1" s="76" t="s">
        <v>84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ht="29.25" customHeight="1">
      <c r="A2" s="4" t="s">
        <v>0</v>
      </c>
      <c r="B2" s="4" t="s">
        <v>49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</row>
    <row r="3" spans="1:16" ht="25.5" customHeight="1">
      <c r="A3" s="77" t="s">
        <v>48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6" ht="17.25" customHeight="1">
      <c r="A4" s="4" t="s">
        <v>87</v>
      </c>
      <c r="B4" s="5" t="s">
        <v>22</v>
      </c>
      <c r="C4" s="4" t="s">
        <v>16</v>
      </c>
      <c r="D4" s="6">
        <v>4.8</v>
      </c>
      <c r="E4" s="6">
        <v>5.0999999999999996</v>
      </c>
      <c r="F4" s="6">
        <v>4</v>
      </c>
      <c r="G4" s="6">
        <v>1.2</v>
      </c>
      <c r="H4" s="6">
        <v>1.2</v>
      </c>
      <c r="I4" s="6">
        <v>1134</v>
      </c>
      <c r="J4" s="6">
        <f>1413443.34/1000/1.18</f>
        <v>1197.8333389830509</v>
      </c>
      <c r="K4" s="6">
        <f>1633587.02/1000/1.18</f>
        <v>1384.3957796610171</v>
      </c>
      <c r="L4" s="6">
        <f>1407013.14/1000/1.18</f>
        <v>1192.3840169491525</v>
      </c>
      <c r="M4" s="6">
        <f>1509705.11/1000/1.18</f>
        <v>1279.4111101694916</v>
      </c>
      <c r="N4" s="6">
        <f>1702374.54/1000/1.18</f>
        <v>1442.6902881355934</v>
      </c>
      <c r="O4" s="6">
        <f>1626079.25/1000/1.18</f>
        <v>1378.0332627118644</v>
      </c>
      <c r="P4" s="6">
        <f>SUM(D4:O4)</f>
        <v>9025.0477966101698</v>
      </c>
    </row>
    <row r="5" spans="1:16">
      <c r="A5" s="4" t="s">
        <v>36</v>
      </c>
      <c r="B5" s="5" t="s">
        <v>17</v>
      </c>
      <c r="C5" s="4" t="s">
        <v>123</v>
      </c>
      <c r="D5" s="6">
        <v>1171</v>
      </c>
      <c r="E5" s="6">
        <v>1122</v>
      </c>
      <c r="F5" s="6">
        <v>958</v>
      </c>
      <c r="G5" s="6">
        <v>389</v>
      </c>
      <c r="H5" s="6">
        <v>377</v>
      </c>
      <c r="I5" s="6">
        <v>349350</v>
      </c>
      <c r="J5" s="6">
        <v>333084</v>
      </c>
      <c r="K5" s="6">
        <v>383673</v>
      </c>
      <c r="L5" s="6">
        <v>331648</v>
      </c>
      <c r="M5" s="6">
        <v>360431</v>
      </c>
      <c r="N5" s="6">
        <v>414582</v>
      </c>
      <c r="O5" s="6">
        <v>397965</v>
      </c>
      <c r="P5" s="6">
        <f t="shared" ref="P5" si="0">SUM(D5:O5)</f>
        <v>2574750</v>
      </c>
    </row>
    <row r="6" spans="1:16" ht="16.5" customHeight="1">
      <c r="A6" s="4" t="s">
        <v>37</v>
      </c>
      <c r="B6" s="5" t="s">
        <v>18</v>
      </c>
      <c r="C6" s="4" t="s">
        <v>20</v>
      </c>
      <c r="D6" s="6">
        <f>D4/D5*1000</f>
        <v>4.0990606319385137</v>
      </c>
      <c r="E6" s="6">
        <f t="shared" ref="E6:O6" si="1">E4/E5*1000</f>
        <v>4.545454545454545</v>
      </c>
      <c r="F6" s="6">
        <f t="shared" si="1"/>
        <v>4.1753653444676404</v>
      </c>
      <c r="G6" s="6">
        <f t="shared" si="1"/>
        <v>3.0848329048843186</v>
      </c>
      <c r="H6" s="6">
        <f t="shared" si="1"/>
        <v>3.183023872679045</v>
      </c>
      <c r="I6" s="6">
        <f t="shared" si="1"/>
        <v>3.246028338342636</v>
      </c>
      <c r="J6" s="6">
        <f t="shared" si="1"/>
        <v>3.5961899670445017</v>
      </c>
      <c r="K6" s="6">
        <f t="shared" si="1"/>
        <v>3.608270010297876</v>
      </c>
      <c r="L6" s="6">
        <f t="shared" si="1"/>
        <v>3.5953300395273073</v>
      </c>
      <c r="M6" s="6">
        <f t="shared" si="1"/>
        <v>3.5496700066572839</v>
      </c>
      <c r="N6" s="6">
        <f t="shared" si="1"/>
        <v>3.4798671629149198</v>
      </c>
      <c r="O6" s="6">
        <f t="shared" si="1"/>
        <v>3.4626996412042876</v>
      </c>
      <c r="P6" s="6">
        <f>SUM(D6:O6)/12</f>
        <v>3.6354827054510732</v>
      </c>
    </row>
    <row r="7" spans="1:16">
      <c r="A7" s="4" t="s">
        <v>88</v>
      </c>
      <c r="B7" s="5" t="s">
        <v>21</v>
      </c>
      <c r="C7" s="4" t="s">
        <v>16</v>
      </c>
      <c r="D7" s="6">
        <v>54.9</v>
      </c>
      <c r="E7" s="6">
        <v>112.9</v>
      </c>
      <c r="F7" s="6"/>
      <c r="G7" s="6"/>
      <c r="H7" s="6"/>
      <c r="I7" s="6"/>
      <c r="J7" s="6"/>
      <c r="K7" s="6"/>
      <c r="L7" s="6"/>
      <c r="M7" s="6">
        <v>159.5</v>
      </c>
      <c r="N7" s="6">
        <v>39.4</v>
      </c>
      <c r="O7" s="6">
        <v>106.4</v>
      </c>
      <c r="P7" s="6">
        <v>473.1</v>
      </c>
    </row>
    <row r="8" spans="1:16" ht="15.75" customHeight="1">
      <c r="A8" s="4" t="s">
        <v>89</v>
      </c>
      <c r="B8" s="5" t="s">
        <v>17</v>
      </c>
      <c r="C8" s="4" t="s">
        <v>19</v>
      </c>
      <c r="D8" s="6">
        <v>21.3</v>
      </c>
      <c r="E8" s="6">
        <v>44.3</v>
      </c>
      <c r="F8" s="6"/>
      <c r="G8" s="6"/>
      <c r="H8" s="6"/>
      <c r="I8" s="6"/>
      <c r="J8" s="6"/>
      <c r="K8" s="6"/>
      <c r="L8" s="6"/>
      <c r="M8" s="6">
        <v>60.7</v>
      </c>
      <c r="N8" s="6">
        <v>15</v>
      </c>
      <c r="O8" s="6">
        <v>40.5</v>
      </c>
      <c r="P8" s="6">
        <f>SUM(D8:O8)</f>
        <v>181.8</v>
      </c>
    </row>
    <row r="9" spans="1:16" ht="16.5" customHeight="1">
      <c r="A9" s="4" t="s">
        <v>90</v>
      </c>
      <c r="B9" s="5" t="s">
        <v>18</v>
      </c>
      <c r="C9" s="4" t="s">
        <v>20</v>
      </c>
      <c r="D9" s="6">
        <f>D7/D8*1000</f>
        <v>2577.464788732394</v>
      </c>
      <c r="E9" s="6">
        <f>E7/E8*1000</f>
        <v>2548.5327313769758</v>
      </c>
      <c r="F9" s="6"/>
      <c r="G9" s="6"/>
      <c r="H9" s="6"/>
      <c r="I9" s="6"/>
      <c r="J9" s="6"/>
      <c r="K9" s="6"/>
      <c r="L9" s="6"/>
      <c r="M9" s="6">
        <f>M7/M8*1000</f>
        <v>2627.6771004942339</v>
      </c>
      <c r="N9" s="6">
        <f>N7/N8*1000</f>
        <v>2626.6666666666665</v>
      </c>
      <c r="O9" s="6">
        <f>O7/O8*1000</f>
        <v>2627.1604938271603</v>
      </c>
      <c r="P9" s="6">
        <f>P7/P8*1000</f>
        <v>2602.310231023102</v>
      </c>
    </row>
    <row r="10" spans="1:16" s="14" customFormat="1">
      <c r="A10" s="12" t="s">
        <v>91</v>
      </c>
      <c r="B10" s="22" t="s">
        <v>23</v>
      </c>
      <c r="C10" s="12" t="s">
        <v>16</v>
      </c>
      <c r="D10" s="13">
        <v>435.47</v>
      </c>
      <c r="E10" s="13">
        <v>423.1</v>
      </c>
      <c r="F10" s="13">
        <v>442.17</v>
      </c>
      <c r="G10" s="13">
        <v>403.64</v>
      </c>
      <c r="H10" s="13">
        <v>486.74</v>
      </c>
      <c r="I10" s="13">
        <v>396.91</v>
      </c>
      <c r="J10" s="13">
        <v>476.98</v>
      </c>
      <c r="K10" s="13">
        <v>431.7</v>
      </c>
      <c r="L10" s="13">
        <v>407.5</v>
      </c>
      <c r="M10" s="13">
        <v>419.93</v>
      </c>
      <c r="N10" s="13">
        <v>411.99</v>
      </c>
      <c r="O10" s="13">
        <v>425.25</v>
      </c>
      <c r="P10" s="13">
        <f>(SUM(D10:O10))</f>
        <v>5161.3799999999992</v>
      </c>
    </row>
    <row r="11" spans="1:16">
      <c r="A11" s="4" t="s">
        <v>38</v>
      </c>
      <c r="B11" s="5" t="s">
        <v>85</v>
      </c>
      <c r="C11" s="4" t="s">
        <v>30</v>
      </c>
      <c r="D11" s="6">
        <f>D10/D12*1000</f>
        <v>12807.941176470589</v>
      </c>
      <c r="E11" s="6">
        <f t="shared" ref="E11:O11" si="2">E10/E12*1000</f>
        <v>12444.117647058825</v>
      </c>
      <c r="F11" s="6">
        <f t="shared" si="2"/>
        <v>13005</v>
      </c>
      <c r="G11" s="6">
        <f t="shared" si="2"/>
        <v>11532.571428571428</v>
      </c>
      <c r="H11" s="6">
        <f t="shared" si="2"/>
        <v>13906.857142857143</v>
      </c>
      <c r="I11" s="6">
        <f t="shared" si="2"/>
        <v>11673.823529411764</v>
      </c>
      <c r="J11" s="6">
        <f t="shared" si="2"/>
        <v>14028.823529411766</v>
      </c>
      <c r="K11" s="6">
        <f t="shared" si="2"/>
        <v>12334.285714285714</v>
      </c>
      <c r="L11" s="6">
        <f t="shared" si="2"/>
        <v>11985.294117647058</v>
      </c>
      <c r="M11" s="6">
        <f t="shared" si="2"/>
        <v>12725.151515151514</v>
      </c>
      <c r="N11" s="6">
        <f t="shared" si="2"/>
        <v>12484.545454545454</v>
      </c>
      <c r="O11" s="6">
        <f t="shared" si="2"/>
        <v>13289.0625</v>
      </c>
      <c r="P11" s="6">
        <f>SUM(D11:O11)/12</f>
        <v>12684.789479617604</v>
      </c>
    </row>
    <row r="12" spans="1:16">
      <c r="A12" s="4" t="s">
        <v>39</v>
      </c>
      <c r="B12" s="5" t="s">
        <v>86</v>
      </c>
      <c r="C12" s="4" t="s">
        <v>31</v>
      </c>
      <c r="D12" s="6">
        <v>34</v>
      </c>
      <c r="E12" s="6">
        <v>34</v>
      </c>
      <c r="F12" s="6">
        <v>34</v>
      </c>
      <c r="G12" s="6">
        <v>35</v>
      </c>
      <c r="H12" s="6">
        <v>35</v>
      </c>
      <c r="I12" s="6">
        <v>34</v>
      </c>
      <c r="J12" s="6">
        <v>34</v>
      </c>
      <c r="K12" s="6">
        <v>35</v>
      </c>
      <c r="L12" s="6">
        <v>34</v>
      </c>
      <c r="M12" s="6">
        <v>33</v>
      </c>
      <c r="N12" s="6">
        <v>33</v>
      </c>
      <c r="O12" s="6">
        <v>32</v>
      </c>
      <c r="P12" s="6">
        <f>(SUM(D12:O12))/12</f>
        <v>33.916666666666664</v>
      </c>
    </row>
    <row r="13" spans="1:16">
      <c r="A13" s="4" t="s">
        <v>92</v>
      </c>
      <c r="B13" s="5" t="s">
        <v>24</v>
      </c>
      <c r="C13" s="4" t="s">
        <v>16</v>
      </c>
      <c r="D13" s="6">
        <f t="shared" ref="D13:O13" si="3">D10*30%</f>
        <v>130.64099999999999</v>
      </c>
      <c r="E13" s="6">
        <f t="shared" si="3"/>
        <v>126.93</v>
      </c>
      <c r="F13" s="6">
        <f t="shared" si="3"/>
        <v>132.65100000000001</v>
      </c>
      <c r="G13" s="6">
        <f t="shared" si="3"/>
        <v>121.09199999999998</v>
      </c>
      <c r="H13" s="6">
        <f t="shared" si="3"/>
        <v>146.02199999999999</v>
      </c>
      <c r="I13" s="6">
        <f t="shared" si="3"/>
        <v>119.07300000000001</v>
      </c>
      <c r="J13" s="6">
        <f t="shared" si="3"/>
        <v>143.09399999999999</v>
      </c>
      <c r="K13" s="6">
        <f t="shared" si="3"/>
        <v>129.51</v>
      </c>
      <c r="L13" s="6">
        <f t="shared" si="3"/>
        <v>122.25</v>
      </c>
      <c r="M13" s="6">
        <f t="shared" si="3"/>
        <v>125.979</v>
      </c>
      <c r="N13" s="6">
        <f t="shared" si="3"/>
        <v>123.59699999999999</v>
      </c>
      <c r="O13" s="6">
        <f t="shared" si="3"/>
        <v>127.57499999999999</v>
      </c>
      <c r="P13" s="6">
        <f t="shared" ref="P13:P17" si="4">SUM(D13:O13)</f>
        <v>1548.414</v>
      </c>
    </row>
    <row r="14" spans="1:16">
      <c r="A14" s="4" t="s">
        <v>93</v>
      </c>
      <c r="B14" s="5" t="s">
        <v>25</v>
      </c>
      <c r="C14" s="4" t="s">
        <v>16</v>
      </c>
      <c r="D14" s="6">
        <v>0</v>
      </c>
      <c r="E14" s="6">
        <v>0</v>
      </c>
      <c r="F14" s="6">
        <v>244</v>
      </c>
      <c r="G14" s="6">
        <v>0</v>
      </c>
      <c r="H14" s="6">
        <v>0</v>
      </c>
      <c r="I14" s="6">
        <v>366</v>
      </c>
      <c r="J14" s="6">
        <v>0</v>
      </c>
      <c r="K14" s="6">
        <v>0</v>
      </c>
      <c r="L14" s="6">
        <v>488</v>
      </c>
      <c r="M14" s="6">
        <v>0</v>
      </c>
      <c r="N14" s="6">
        <v>0</v>
      </c>
      <c r="O14" s="6">
        <v>854</v>
      </c>
      <c r="P14" s="6">
        <f t="shared" si="4"/>
        <v>1952</v>
      </c>
    </row>
    <row r="15" spans="1:16" ht="15.75" customHeight="1">
      <c r="A15" s="4" t="s">
        <v>94</v>
      </c>
      <c r="B15" s="5" t="s">
        <v>35</v>
      </c>
      <c r="C15" s="4" t="s">
        <v>16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f t="shared" si="4"/>
        <v>0</v>
      </c>
    </row>
    <row r="16" spans="1:16" ht="30.75" customHeight="1">
      <c r="A16" s="4" t="s">
        <v>95</v>
      </c>
      <c r="B16" s="5" t="s">
        <v>83</v>
      </c>
      <c r="C16" s="4" t="s">
        <v>16</v>
      </c>
      <c r="D16" s="6">
        <v>188</v>
      </c>
      <c r="E16" s="6">
        <v>135</v>
      </c>
      <c r="F16" s="6">
        <v>202</v>
      </c>
      <c r="G16" s="6">
        <v>382</v>
      </c>
      <c r="H16" s="6">
        <v>450</v>
      </c>
      <c r="I16" s="6">
        <v>399</v>
      </c>
      <c r="J16" s="6">
        <v>252</v>
      </c>
      <c r="K16" s="6">
        <v>339</v>
      </c>
      <c r="L16" s="6">
        <v>558</v>
      </c>
      <c r="M16" s="6">
        <v>520</v>
      </c>
      <c r="N16" s="6">
        <v>291</v>
      </c>
      <c r="O16" s="6">
        <v>308</v>
      </c>
      <c r="P16" s="6">
        <f t="shared" si="4"/>
        <v>4024</v>
      </c>
    </row>
    <row r="17" spans="1:16" ht="20.25" customHeight="1">
      <c r="A17" s="4" t="s">
        <v>111</v>
      </c>
      <c r="B17" s="5" t="s">
        <v>129</v>
      </c>
      <c r="C17" s="4" t="s">
        <v>16</v>
      </c>
      <c r="D17" s="6">
        <f>D16*0.7</f>
        <v>131.6</v>
      </c>
      <c r="E17" s="6">
        <f t="shared" ref="E17:O17" si="5">E16*0.7</f>
        <v>94.5</v>
      </c>
      <c r="F17" s="6">
        <f t="shared" si="5"/>
        <v>141.39999999999998</v>
      </c>
      <c r="G17" s="6">
        <f t="shared" si="5"/>
        <v>267.39999999999998</v>
      </c>
      <c r="H17" s="6">
        <f t="shared" si="5"/>
        <v>315</v>
      </c>
      <c r="I17" s="6">
        <f t="shared" si="5"/>
        <v>279.29999999999995</v>
      </c>
      <c r="J17" s="6">
        <f t="shared" si="5"/>
        <v>176.39999999999998</v>
      </c>
      <c r="K17" s="6">
        <f t="shared" si="5"/>
        <v>237.29999999999998</v>
      </c>
      <c r="L17" s="6">
        <f t="shared" si="5"/>
        <v>390.59999999999997</v>
      </c>
      <c r="M17" s="6">
        <f t="shared" si="5"/>
        <v>364</v>
      </c>
      <c r="N17" s="6">
        <f t="shared" si="5"/>
        <v>203.7</v>
      </c>
      <c r="O17" s="6">
        <f t="shared" si="5"/>
        <v>215.6</v>
      </c>
      <c r="P17" s="6">
        <f t="shared" si="4"/>
        <v>2816.7999999999997</v>
      </c>
    </row>
    <row r="18" spans="1:16" ht="18.75" customHeight="1">
      <c r="A18" s="34" t="s">
        <v>96</v>
      </c>
      <c r="B18" s="45" t="s">
        <v>134</v>
      </c>
      <c r="C18" s="34" t="s">
        <v>16</v>
      </c>
      <c r="D18" s="53">
        <f t="shared" ref="D18:P18" si="6">D4+D7+D10+D13+D14+D16</f>
        <v>813.81100000000004</v>
      </c>
      <c r="E18" s="53">
        <f t="shared" si="6"/>
        <v>803.03</v>
      </c>
      <c r="F18" s="53">
        <f t="shared" si="6"/>
        <v>1024.8209999999999</v>
      </c>
      <c r="G18" s="53">
        <f t="shared" si="6"/>
        <v>907.93200000000002</v>
      </c>
      <c r="H18" s="53">
        <f t="shared" si="6"/>
        <v>1083.962</v>
      </c>
      <c r="I18" s="53">
        <f t="shared" si="6"/>
        <v>2414.9830000000002</v>
      </c>
      <c r="J18" s="53">
        <f t="shared" si="6"/>
        <v>2069.907338983051</v>
      </c>
      <c r="K18" s="53">
        <f t="shared" si="6"/>
        <v>2284.6057796610171</v>
      </c>
      <c r="L18" s="53">
        <f t="shared" si="6"/>
        <v>2768.1340169491523</v>
      </c>
      <c r="M18" s="53">
        <f t="shared" si="6"/>
        <v>2504.8201101694917</v>
      </c>
      <c r="N18" s="53">
        <f t="shared" si="6"/>
        <v>2308.6772881355937</v>
      </c>
      <c r="O18" s="53">
        <f t="shared" si="6"/>
        <v>3199.2582627118645</v>
      </c>
      <c r="P18" s="53">
        <f t="shared" si="6"/>
        <v>22183.941796610168</v>
      </c>
    </row>
    <row r="19" spans="1:16" ht="21" customHeight="1">
      <c r="A19" s="77" t="s">
        <v>50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</row>
    <row r="20" spans="1:16" ht="22.5" customHeight="1">
      <c r="A20" s="4" t="s">
        <v>97</v>
      </c>
      <c r="B20" s="25" t="s">
        <v>136</v>
      </c>
      <c r="C20" s="26" t="s">
        <v>16</v>
      </c>
      <c r="D20" s="24">
        <v>932.3</v>
      </c>
      <c r="E20" s="24">
        <v>996.7</v>
      </c>
      <c r="F20" s="24">
        <v>880.6</v>
      </c>
      <c r="G20" s="24">
        <v>880.6</v>
      </c>
      <c r="H20" s="24">
        <v>959.3</v>
      </c>
      <c r="I20" s="24">
        <v>773.6</v>
      </c>
      <c r="J20" s="24">
        <v>1136</v>
      </c>
      <c r="K20" s="24">
        <v>834.9</v>
      </c>
      <c r="L20" s="24">
        <v>841.4</v>
      </c>
      <c r="M20" s="24">
        <v>2186.5</v>
      </c>
      <c r="N20" s="24">
        <v>977.5</v>
      </c>
      <c r="O20" s="24">
        <v>1017.5</v>
      </c>
      <c r="P20" s="24">
        <f>D20+E20+F20+G20+H20+I20+J20+K20+L20+M20+N20+O20</f>
        <v>12416.9</v>
      </c>
    </row>
    <row r="21" spans="1:16">
      <c r="A21" s="4" t="s">
        <v>81</v>
      </c>
      <c r="B21" s="5" t="s">
        <v>53</v>
      </c>
      <c r="C21" s="4" t="s">
        <v>16</v>
      </c>
      <c r="D21" s="6">
        <f>16.74/1000*45.5</f>
        <v>0.76166999999999996</v>
      </c>
      <c r="E21" s="6">
        <v>0.76</v>
      </c>
      <c r="F21" s="6">
        <f>16.74/1000*49.7</f>
        <v>0.831978</v>
      </c>
      <c r="G21" s="6">
        <v>0.77</v>
      </c>
      <c r="H21" s="6">
        <v>1.69</v>
      </c>
      <c r="I21" s="6">
        <v>1.34</v>
      </c>
      <c r="J21" s="6">
        <f>17.75/1000*124.9</f>
        <v>2.2169749999999997</v>
      </c>
      <c r="K21" s="6">
        <v>1.86</v>
      </c>
      <c r="L21" s="6">
        <f>18.93/1000*98.9</f>
        <v>1.872177</v>
      </c>
      <c r="M21" s="6">
        <f>18.93/1000*62.3</f>
        <v>1.1793389999999999</v>
      </c>
      <c r="N21" s="6">
        <f>18.93/1000*60.9</f>
        <v>1.1528369999999999</v>
      </c>
      <c r="O21" s="6">
        <v>1.08</v>
      </c>
      <c r="P21" s="6">
        <f t="shared" ref="P21:P39" si="7">SUM(D21:O21)</f>
        <v>15.514975999999999</v>
      </c>
    </row>
    <row r="22" spans="1:16">
      <c r="A22" s="4" t="s">
        <v>98</v>
      </c>
      <c r="B22" s="5" t="s">
        <v>55</v>
      </c>
      <c r="C22" s="4" t="s">
        <v>16</v>
      </c>
      <c r="D22" s="6">
        <v>25.23</v>
      </c>
      <c r="E22" s="6">
        <v>28.91</v>
      </c>
      <c r="F22" s="6">
        <v>93.83</v>
      </c>
      <c r="G22" s="6">
        <v>57.37</v>
      </c>
      <c r="H22" s="6">
        <v>56.07</v>
      </c>
      <c r="I22" s="6">
        <v>56.19</v>
      </c>
      <c r="J22" s="6">
        <v>59.25</v>
      </c>
      <c r="K22" s="6">
        <v>50.48</v>
      </c>
      <c r="L22" s="6">
        <v>53.59</v>
      </c>
      <c r="M22" s="6">
        <v>43.18</v>
      </c>
      <c r="N22" s="6">
        <v>65.47</v>
      </c>
      <c r="O22" s="6">
        <v>64.66</v>
      </c>
      <c r="P22" s="6">
        <f t="shared" si="7"/>
        <v>654.23</v>
      </c>
    </row>
    <row r="23" spans="1:16">
      <c r="A23" s="4" t="s">
        <v>99</v>
      </c>
      <c r="B23" s="5" t="s">
        <v>57</v>
      </c>
      <c r="C23" s="4" t="s">
        <v>16</v>
      </c>
      <c r="D23" s="6">
        <f>16.74/1000*2282.07</f>
        <v>38.2018518</v>
      </c>
      <c r="E23" s="6">
        <v>39.700000000000003</v>
      </c>
      <c r="F23" s="6">
        <v>38.25</v>
      </c>
      <c r="G23" s="6">
        <v>40.369999999999997</v>
      </c>
      <c r="H23" s="6">
        <v>38.729999999999997</v>
      </c>
      <c r="I23" s="6">
        <v>37.340000000000003</v>
      </c>
      <c r="J23" s="6">
        <v>38.74</v>
      </c>
      <c r="K23" s="6">
        <v>38.119999999999997</v>
      </c>
      <c r="L23" s="6">
        <v>42.5</v>
      </c>
      <c r="M23" s="6">
        <f>18.93/1000*2335.53</f>
        <v>44.211582900000003</v>
      </c>
      <c r="N23" s="6">
        <v>43.82</v>
      </c>
      <c r="O23" s="6">
        <v>44.11</v>
      </c>
      <c r="P23" s="6">
        <f t="shared" si="7"/>
        <v>484.09343469999999</v>
      </c>
    </row>
    <row r="24" spans="1:16">
      <c r="A24" s="4" t="s">
        <v>100</v>
      </c>
      <c r="B24" s="5" t="s">
        <v>59</v>
      </c>
      <c r="C24" s="4" t="s">
        <v>16</v>
      </c>
      <c r="D24" s="6">
        <v>83.46</v>
      </c>
      <c r="E24" s="6">
        <v>86.12</v>
      </c>
      <c r="F24" s="6">
        <v>87.41</v>
      </c>
      <c r="G24" s="6">
        <v>85.11</v>
      </c>
      <c r="H24" s="6">
        <v>85.6</v>
      </c>
      <c r="I24" s="6">
        <v>87.27</v>
      </c>
      <c r="J24" s="6">
        <v>94.79</v>
      </c>
      <c r="K24" s="6">
        <v>92.05</v>
      </c>
      <c r="L24" s="6">
        <v>106.07</v>
      </c>
      <c r="M24" s="6">
        <v>0</v>
      </c>
      <c r="N24" s="6">
        <v>0</v>
      </c>
      <c r="O24" s="6">
        <v>0</v>
      </c>
      <c r="P24" s="6">
        <f t="shared" si="7"/>
        <v>807.87999999999988</v>
      </c>
    </row>
    <row r="25" spans="1:16">
      <c r="A25" s="4" t="s">
        <v>101</v>
      </c>
      <c r="B25" s="5" t="s">
        <v>61</v>
      </c>
      <c r="C25" s="4" t="s">
        <v>16</v>
      </c>
      <c r="D25" s="6">
        <v>507.12</v>
      </c>
      <c r="E25" s="6">
        <v>502.6</v>
      </c>
      <c r="F25" s="6">
        <v>493.41</v>
      </c>
      <c r="G25" s="6">
        <v>496.54</v>
      </c>
      <c r="H25" s="6">
        <v>501.51</v>
      </c>
      <c r="I25" s="6">
        <v>360.52</v>
      </c>
      <c r="J25" s="6">
        <v>267.70999999999998</v>
      </c>
      <c r="K25" s="6">
        <v>233.33</v>
      </c>
      <c r="L25" s="6">
        <v>198.64</v>
      </c>
      <c r="M25" s="6">
        <f>18.93/1000*7061.7</f>
        <v>133.67798099999999</v>
      </c>
      <c r="N25" s="6">
        <v>139.1</v>
      </c>
      <c r="O25" s="6">
        <v>166.34</v>
      </c>
      <c r="P25" s="6">
        <f t="shared" si="7"/>
        <v>4000.497981</v>
      </c>
    </row>
    <row r="26" spans="1:16">
      <c r="A26" s="4" t="s">
        <v>102</v>
      </c>
      <c r="B26" s="5" t="s">
        <v>63</v>
      </c>
      <c r="C26" s="4" t="s">
        <v>16</v>
      </c>
      <c r="D26" s="6">
        <v>194.19</v>
      </c>
      <c r="E26" s="6">
        <v>219.99</v>
      </c>
      <c r="F26" s="6">
        <f>16.74/1000*16963.2</f>
        <v>283.96396799999997</v>
      </c>
      <c r="G26" s="6">
        <f>16.74/1000*17364.1</f>
        <v>290.67503399999993</v>
      </c>
      <c r="H26" s="6">
        <v>198.95</v>
      </c>
      <c r="I26" s="6">
        <v>216</v>
      </c>
      <c r="J26" s="6">
        <v>257.94</v>
      </c>
      <c r="K26" s="6">
        <v>307.94</v>
      </c>
      <c r="L26" s="6">
        <v>333.18</v>
      </c>
      <c r="M26" s="6">
        <v>0</v>
      </c>
      <c r="N26" s="6">
        <v>0</v>
      </c>
      <c r="O26" s="6">
        <v>0</v>
      </c>
      <c r="P26" s="6">
        <f t="shared" si="7"/>
        <v>2302.8290019999999</v>
      </c>
    </row>
    <row r="27" spans="1:16">
      <c r="A27" s="4" t="s">
        <v>103</v>
      </c>
      <c r="B27" s="5" t="s">
        <v>65</v>
      </c>
      <c r="C27" s="4" t="s">
        <v>16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139.07</v>
      </c>
      <c r="J27" s="6">
        <v>191.77</v>
      </c>
      <c r="K27" s="6">
        <v>218.85</v>
      </c>
      <c r="L27" s="6">
        <v>218.25</v>
      </c>
      <c r="M27" s="6">
        <v>272.44</v>
      </c>
      <c r="N27" s="6">
        <v>220.55</v>
      </c>
      <c r="O27" s="6">
        <v>220.91</v>
      </c>
      <c r="P27" s="6">
        <f t="shared" si="7"/>
        <v>1481.8400000000001</v>
      </c>
    </row>
    <row r="28" spans="1:16">
      <c r="A28" s="4" t="s">
        <v>104</v>
      </c>
      <c r="B28" s="5" t="s">
        <v>67</v>
      </c>
      <c r="C28" s="4" t="s">
        <v>16</v>
      </c>
      <c r="D28" s="6">
        <v>51.9</v>
      </c>
      <c r="E28" s="6">
        <v>105.71</v>
      </c>
      <c r="F28" s="6">
        <v>0</v>
      </c>
      <c r="G28" s="6">
        <v>0</v>
      </c>
      <c r="H28" s="6">
        <v>0</v>
      </c>
      <c r="I28" s="6">
        <v>0</v>
      </c>
      <c r="J28" s="6">
        <v>374.01</v>
      </c>
      <c r="K28" s="6">
        <v>0</v>
      </c>
      <c r="L28" s="6">
        <v>0</v>
      </c>
      <c r="M28" s="6">
        <v>1711.01</v>
      </c>
      <c r="N28" s="6">
        <v>379.39</v>
      </c>
      <c r="O28" s="6">
        <v>400.43</v>
      </c>
      <c r="P28" s="6">
        <f t="shared" si="7"/>
        <v>3022.45</v>
      </c>
    </row>
    <row r="29" spans="1:16">
      <c r="A29" s="4" t="s">
        <v>106</v>
      </c>
      <c r="B29" s="5" t="s">
        <v>70</v>
      </c>
      <c r="C29" s="4" t="s">
        <v>16</v>
      </c>
      <c r="D29" s="6">
        <v>53.8</v>
      </c>
      <c r="E29" s="6">
        <v>48.23</v>
      </c>
      <c r="F29" s="6">
        <v>77.180000000000007</v>
      </c>
      <c r="G29" s="6">
        <v>50.56</v>
      </c>
      <c r="H29" s="6">
        <v>42.69</v>
      </c>
      <c r="I29" s="6">
        <v>42.63</v>
      </c>
      <c r="J29" s="6">
        <v>73.819999999999993</v>
      </c>
      <c r="K29" s="6">
        <v>62.36</v>
      </c>
      <c r="L29" s="6">
        <v>65.89</v>
      </c>
      <c r="M29" s="6">
        <v>55.7</v>
      </c>
      <c r="N29" s="6">
        <v>63.84</v>
      </c>
      <c r="O29" s="6">
        <v>57.44</v>
      </c>
      <c r="P29" s="6">
        <f t="shared" si="7"/>
        <v>694.1400000000001</v>
      </c>
    </row>
    <row r="30" spans="1:16" ht="24.75" customHeight="1">
      <c r="A30" s="4" t="s">
        <v>107</v>
      </c>
      <c r="B30" s="28" t="s">
        <v>135</v>
      </c>
      <c r="C30" s="29" t="s">
        <v>16</v>
      </c>
      <c r="D30" s="10">
        <f t="shared" ref="D30:O30" si="8">SUM(D31:D39)</f>
        <v>699.68644067796617</v>
      </c>
      <c r="E30" s="10">
        <f t="shared" si="8"/>
        <v>941.39830508474586</v>
      </c>
      <c r="F30" s="10">
        <f t="shared" si="8"/>
        <v>984.92372881355948</v>
      </c>
      <c r="G30" s="10">
        <f t="shared" si="8"/>
        <v>1164.406779661017</v>
      </c>
      <c r="H30" s="10">
        <f t="shared" si="8"/>
        <v>1081.5338983050847</v>
      </c>
      <c r="I30" s="10">
        <f t="shared" si="8"/>
        <v>798.38983050847446</v>
      </c>
      <c r="J30" s="10">
        <f t="shared" si="8"/>
        <v>1138.4745762711868</v>
      </c>
      <c r="K30" s="10">
        <f t="shared" si="8"/>
        <v>940.55084745762713</v>
      </c>
      <c r="L30" s="10">
        <f t="shared" si="8"/>
        <v>1094.4152542372881</v>
      </c>
      <c r="M30" s="10">
        <f t="shared" si="8"/>
        <v>890.25423728813553</v>
      </c>
      <c r="N30" s="10">
        <f t="shared" si="8"/>
        <v>1280.3898305084747</v>
      </c>
      <c r="O30" s="10">
        <f t="shared" si="8"/>
        <v>1493.8305084745762</v>
      </c>
      <c r="P30" s="10">
        <f t="shared" si="7"/>
        <v>12508.254237288136</v>
      </c>
    </row>
    <row r="31" spans="1:16">
      <c r="A31" s="4" t="s">
        <v>112</v>
      </c>
      <c r="B31" s="5" t="s">
        <v>53</v>
      </c>
      <c r="C31" s="4" t="s">
        <v>16</v>
      </c>
      <c r="D31" s="6">
        <f>0.03/1.18</f>
        <v>2.5423728813559324E-2</v>
      </c>
      <c r="E31" s="6">
        <f>0.67/1.18</f>
        <v>0.56779661016949157</v>
      </c>
      <c r="F31" s="6">
        <f>1.12/1.18</f>
        <v>0.94915254237288149</v>
      </c>
      <c r="G31" s="6">
        <f>0.79/1.18</f>
        <v>0.66949152542372892</v>
      </c>
      <c r="H31" s="6">
        <f>1.12/1.18</f>
        <v>0.94915254237288149</v>
      </c>
      <c r="I31" s="6">
        <f>1.29/1.18</f>
        <v>1.093220338983051</v>
      </c>
      <c r="J31" s="6">
        <f>0.95/1.18</f>
        <v>0.80508474576271183</v>
      </c>
      <c r="K31" s="6">
        <f>1.24/1.18</f>
        <v>1.0508474576271187</v>
      </c>
      <c r="L31" s="6">
        <f>2.79/1.18</f>
        <v>2.3644067796610173</v>
      </c>
      <c r="M31" s="6">
        <f>1.72/1.18</f>
        <v>1.4576271186440679</v>
      </c>
      <c r="N31" s="6">
        <f>0.2/1.18</f>
        <v>0.16949152542372883</v>
      </c>
      <c r="O31" s="6">
        <f>3.01/1.18</f>
        <v>2.5508474576271185</v>
      </c>
      <c r="P31" s="6">
        <f t="shared" si="7"/>
        <v>12.652542372881356</v>
      </c>
    </row>
    <row r="32" spans="1:16">
      <c r="A32" s="4" t="s">
        <v>113</v>
      </c>
      <c r="B32" s="5" t="s">
        <v>55</v>
      </c>
      <c r="C32" s="4" t="s">
        <v>16</v>
      </c>
      <c r="D32" s="6">
        <f>0.21/1.18</f>
        <v>0.17796610169491525</v>
      </c>
      <c r="E32" s="6">
        <f>11.99/1.18</f>
        <v>10.161016949152543</v>
      </c>
      <c r="F32" s="6">
        <f>59.1/1.18</f>
        <v>50.084745762711869</v>
      </c>
      <c r="G32" s="6">
        <f>65.87/1.18</f>
        <v>55.822033898305094</v>
      </c>
      <c r="H32" s="6">
        <f>37.35/1.18</f>
        <v>31.65254237288136</v>
      </c>
      <c r="I32" s="6">
        <f>65.22/1.18</f>
        <v>55.271186440677965</v>
      </c>
      <c r="J32" s="6">
        <f>39.38/1.18</f>
        <v>33.372881355932208</v>
      </c>
      <c r="K32" s="6">
        <f>33.65/1.18</f>
        <v>28.516949152542374</v>
      </c>
      <c r="L32" s="6">
        <f>61.61/1.18</f>
        <v>52.211864406779661</v>
      </c>
      <c r="M32" s="6">
        <f>26.13/1.18</f>
        <v>22.14406779661017</v>
      </c>
      <c r="N32" s="6">
        <f>9.15/1.18</f>
        <v>7.7542372881355943</v>
      </c>
      <c r="O32" s="6">
        <f>199.03/1.18</f>
        <v>168.66949152542375</v>
      </c>
      <c r="P32" s="6">
        <f t="shared" si="7"/>
        <v>515.83898305084745</v>
      </c>
    </row>
    <row r="33" spans="1:16">
      <c r="A33" s="4" t="s">
        <v>114</v>
      </c>
      <c r="B33" s="5" t="s">
        <v>57</v>
      </c>
      <c r="C33" s="4" t="s">
        <v>16</v>
      </c>
      <c r="D33" s="6">
        <f>46.12/1.18</f>
        <v>39.084745762711862</v>
      </c>
      <c r="E33" s="6">
        <f>11.85/1.18</f>
        <v>10.042372881355933</v>
      </c>
      <c r="F33" s="6">
        <f>0.21/1.18</f>
        <v>0.17796610169491525</v>
      </c>
      <c r="G33" s="6">
        <f>0.11/1.18</f>
        <v>9.3220338983050849E-2</v>
      </c>
      <c r="H33" s="6">
        <f>10.03/1.18</f>
        <v>8.5</v>
      </c>
      <c r="I33" s="6">
        <f>0.11/1.18</f>
        <v>9.3220338983050849E-2</v>
      </c>
      <c r="J33" s="6">
        <f>5.75/1.18</f>
        <v>4.8728813559322033</v>
      </c>
      <c r="K33" s="6">
        <f>25.41/1.18</f>
        <v>21.533898305084747</v>
      </c>
      <c r="L33" s="6">
        <f>19.32/1.18</f>
        <v>16.372881355932204</v>
      </c>
      <c r="M33" s="6">
        <f>22.07/1.18</f>
        <v>18.703389830508474</v>
      </c>
      <c r="N33" s="6">
        <f>60.2/1.18</f>
        <v>51.016949152542381</v>
      </c>
      <c r="O33" s="6">
        <f>85.81/1.18</f>
        <v>72.720338983050851</v>
      </c>
      <c r="P33" s="6">
        <f t="shared" si="7"/>
        <v>243.21186440677968</v>
      </c>
    </row>
    <row r="34" spans="1:16">
      <c r="A34" s="4" t="s">
        <v>115</v>
      </c>
      <c r="B34" s="5" t="s">
        <v>59</v>
      </c>
      <c r="C34" s="4" t="s">
        <v>16</v>
      </c>
      <c r="D34" s="6">
        <f>74.99/1.18</f>
        <v>63.550847457627121</v>
      </c>
      <c r="E34" s="6">
        <f>130.61/1.18</f>
        <v>110.68644067796612</v>
      </c>
      <c r="F34" s="6">
        <v>0</v>
      </c>
      <c r="G34" s="6">
        <f>238.77/1.18</f>
        <v>202.34745762711867</v>
      </c>
      <c r="H34" s="6">
        <f>115.96/1.18</f>
        <v>98.271186440677965</v>
      </c>
      <c r="I34" s="6">
        <v>0</v>
      </c>
      <c r="J34" s="6">
        <f>186.83/1.18</f>
        <v>158.33050847457628</v>
      </c>
      <c r="K34" s="6">
        <f>61.37/1.18</f>
        <v>52.00847457627119</v>
      </c>
      <c r="L34" s="6">
        <v>0</v>
      </c>
      <c r="M34" s="6">
        <f>130.97/1.18</f>
        <v>110.99152542372882</v>
      </c>
      <c r="N34" s="6">
        <f>13.73/1.18</f>
        <v>11.635593220338984</v>
      </c>
      <c r="O34" s="6">
        <v>0</v>
      </c>
      <c r="P34" s="6">
        <f t="shared" si="7"/>
        <v>807.82203389830511</v>
      </c>
    </row>
    <row r="35" spans="1:16">
      <c r="A35" s="4" t="s">
        <v>116</v>
      </c>
      <c r="B35" s="5" t="s">
        <v>61</v>
      </c>
      <c r="C35" s="4" t="s">
        <v>16</v>
      </c>
      <c r="D35" s="6">
        <f>(234.53+195.18)/1.18</f>
        <v>364.16101694915261</v>
      </c>
      <c r="E35" s="6">
        <f>(296.63+195.18)/1.18</f>
        <v>416.78813559322037</v>
      </c>
      <c r="F35" s="6">
        <f>(425.39+195.18)/1.18</f>
        <v>525.90677966101691</v>
      </c>
      <c r="G35" s="6">
        <f>(422.35+195.18)/1.18</f>
        <v>523.33050847457628</v>
      </c>
      <c r="H35" s="6">
        <f>(420.91+195.18)/1.18</f>
        <v>522.11016949152543</v>
      </c>
      <c r="I35" s="6">
        <f>(227.19+195.18)/1.18</f>
        <v>357.9406779661017</v>
      </c>
      <c r="J35" s="6">
        <f>(342.97+195.18)/1.18</f>
        <v>456.05932203389841</v>
      </c>
      <c r="K35" s="6">
        <f>(155.55+195.18)/1.18</f>
        <v>297.22881355932208</v>
      </c>
      <c r="L35" s="6">
        <f>(12.74+195.18)/1.18</f>
        <v>176.20338983050848</v>
      </c>
      <c r="M35" s="6">
        <f>(44.6+195.18)/1.18</f>
        <v>203.20338983050848</v>
      </c>
      <c r="N35" s="6">
        <f>(27.26+195.18)/1.18</f>
        <v>188.5084745762712</v>
      </c>
      <c r="O35" s="6">
        <f>(221.75+195.18)/1.18</f>
        <v>353.33050847457628</v>
      </c>
      <c r="P35" s="6">
        <f t="shared" si="7"/>
        <v>4384.7711864406783</v>
      </c>
    </row>
    <row r="36" spans="1:16" ht="18" customHeight="1">
      <c r="A36" s="4" t="s">
        <v>117</v>
      </c>
      <c r="B36" s="5" t="s">
        <v>63</v>
      </c>
      <c r="C36" s="4" t="s">
        <v>16</v>
      </c>
      <c r="D36" s="6">
        <f>(37.65+195.18)/1.18</f>
        <v>197.31355932203391</v>
      </c>
      <c r="E36" s="6">
        <f>(231.46+195.18)/1.18</f>
        <v>361.5593220338983</v>
      </c>
      <c r="F36" s="6">
        <f>(220+195.18)/1.18</f>
        <v>351.84745762711867</v>
      </c>
      <c r="G36" s="6">
        <f>(194.67+195.18)/1.18</f>
        <v>330.38135593220341</v>
      </c>
      <c r="H36" s="6">
        <f>(206.67+195.18)/1.18</f>
        <v>340.55084745762713</v>
      </c>
      <c r="I36" s="6">
        <f>(213.33+195.18)/1.18</f>
        <v>346.19491525423729</v>
      </c>
      <c r="J36" s="6">
        <f>(180+195.18)/1.18</f>
        <v>317.94915254237293</v>
      </c>
      <c r="K36" s="6">
        <f>(205.29+195.18)/1.18</f>
        <v>339.38135593220341</v>
      </c>
      <c r="L36" s="6">
        <f>(518.75+195.18)/1.18</f>
        <v>605.02542372881362</v>
      </c>
      <c r="M36" s="6">
        <f>(279.63+195.18)/1.18</f>
        <v>402.38135593220341</v>
      </c>
      <c r="N36" s="6">
        <f>(112.7+195.18)/1.18</f>
        <v>260.91525423728814</v>
      </c>
      <c r="O36" s="6">
        <f>195.18/1.18</f>
        <v>165.40677966101697</v>
      </c>
      <c r="P36" s="6">
        <f t="shared" si="7"/>
        <v>4018.906779661017</v>
      </c>
    </row>
    <row r="37" spans="1:16">
      <c r="A37" s="4" t="s">
        <v>118</v>
      </c>
      <c r="B37" s="5" t="s">
        <v>65</v>
      </c>
      <c r="C37" s="4" t="s">
        <v>16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f>110.67/1.18</f>
        <v>93.788135593220346</v>
      </c>
      <c r="K37" s="6">
        <f>145.9/1.18</f>
        <v>123.64406779661019</v>
      </c>
      <c r="L37" s="6">
        <f>201.68/1.18</f>
        <v>170.91525423728814</v>
      </c>
      <c r="M37" s="6">
        <f>109.24/1.18</f>
        <v>92.576271186440678</v>
      </c>
      <c r="N37" s="6">
        <f>408.11/1.18</f>
        <v>345.85593220338984</v>
      </c>
      <c r="O37" s="6">
        <f>281.66/1.18</f>
        <v>238.69491525423732</v>
      </c>
      <c r="P37" s="6">
        <f t="shared" si="7"/>
        <v>1065.4745762711864</v>
      </c>
    </row>
    <row r="38" spans="1:16" ht="15.75" customHeight="1">
      <c r="A38" s="4" t="s">
        <v>119</v>
      </c>
      <c r="B38" s="5" t="s">
        <v>67</v>
      </c>
      <c r="C38" s="4" t="s">
        <v>16</v>
      </c>
      <c r="D38" s="8">
        <f>6.67/1.18</f>
        <v>5.6525423728813564</v>
      </c>
      <c r="E38" s="8">
        <f>5.23/1.18</f>
        <v>4.4322033898305087</v>
      </c>
      <c r="F38" s="8">
        <f>31.64/1.18</f>
        <v>26.8135593220339</v>
      </c>
      <c r="G38" s="8">
        <f>21.15/1.18</f>
        <v>17.923728813559322</v>
      </c>
      <c r="H38" s="8">
        <f>20.79/1.18</f>
        <v>17.618644067796609</v>
      </c>
      <c r="I38" s="8">
        <f>8.55/1.18</f>
        <v>7.2457627118644075</v>
      </c>
      <c r="J38" s="8">
        <f>10.58/1.18</f>
        <v>8.9661016949152543</v>
      </c>
      <c r="K38" s="8">
        <f>48.51/1.18</f>
        <v>41.110169491525426</v>
      </c>
      <c r="L38" s="8">
        <f>15.4/1.18</f>
        <v>13.050847457627119</v>
      </c>
      <c r="M38" s="8">
        <f>14.5/1.18</f>
        <v>12.288135593220339</v>
      </c>
      <c r="N38" s="8">
        <f>446.9/1.18</f>
        <v>378.72881355932202</v>
      </c>
      <c r="O38" s="8">
        <f>516.65/1.18</f>
        <v>437.83898305084745</v>
      </c>
      <c r="P38" s="8">
        <f t="shared" si="7"/>
        <v>971.66949152542372</v>
      </c>
    </row>
    <row r="39" spans="1:16" ht="18" customHeight="1">
      <c r="A39" s="4" t="s">
        <v>121</v>
      </c>
      <c r="B39" s="5" t="s">
        <v>70</v>
      </c>
      <c r="C39" s="4" t="s">
        <v>16</v>
      </c>
      <c r="D39" s="6">
        <f>35.07/1.18</f>
        <v>29.720338983050848</v>
      </c>
      <c r="E39" s="6">
        <f>32.05/1.18</f>
        <v>27.16101694915254</v>
      </c>
      <c r="F39" s="6">
        <f>34.39/1.18</f>
        <v>29.144067796610173</v>
      </c>
      <c r="G39" s="6">
        <f>39.93/1.18</f>
        <v>33.83898305084746</v>
      </c>
      <c r="H39" s="6">
        <f>73.02/1.18</f>
        <v>61.881355932203391</v>
      </c>
      <c r="I39" s="6">
        <f>36.05/1.18</f>
        <v>30.550847457627118</v>
      </c>
      <c r="J39" s="6">
        <f>75.91/1.18</f>
        <v>64.330508474576277</v>
      </c>
      <c r="K39" s="6">
        <f>42.57/1.18</f>
        <v>36.076271186440678</v>
      </c>
      <c r="L39" s="6">
        <f>68.76/1.18</f>
        <v>58.271186440677972</v>
      </c>
      <c r="M39" s="6">
        <f>31.28/1.18</f>
        <v>26.50847457627119</v>
      </c>
      <c r="N39" s="6">
        <f>42.25/1.18</f>
        <v>35.805084745762713</v>
      </c>
      <c r="O39" s="6">
        <f>64.45/1.18</f>
        <v>54.618644067796616</v>
      </c>
      <c r="P39" s="6">
        <f t="shared" si="7"/>
        <v>487.90677966101697</v>
      </c>
    </row>
    <row r="40" spans="1:16" ht="30">
      <c r="A40" s="4" t="s">
        <v>122</v>
      </c>
      <c r="B40" s="5" t="s">
        <v>157</v>
      </c>
      <c r="C40" s="4" t="s">
        <v>16</v>
      </c>
      <c r="D40" s="6">
        <f t="shared" ref="D40:P40" si="9">D30-D20</f>
        <v>-232.61355932203378</v>
      </c>
      <c r="E40" s="6">
        <f t="shared" si="9"/>
        <v>-55.301694915254188</v>
      </c>
      <c r="F40" s="6">
        <f t="shared" si="9"/>
        <v>104.32372881355946</v>
      </c>
      <c r="G40" s="6">
        <f t="shared" si="9"/>
        <v>283.806779661017</v>
      </c>
      <c r="H40" s="6">
        <f t="shared" si="9"/>
        <v>122.23389830508472</v>
      </c>
      <c r="I40" s="6">
        <f t="shared" si="9"/>
        <v>24.789830508474438</v>
      </c>
      <c r="J40" s="6">
        <f t="shared" si="9"/>
        <v>2.4745762711868338</v>
      </c>
      <c r="K40" s="6">
        <f t="shared" si="9"/>
        <v>105.65084745762715</v>
      </c>
      <c r="L40" s="6">
        <f t="shared" si="9"/>
        <v>253.0152542372881</v>
      </c>
      <c r="M40" s="6">
        <f t="shared" si="9"/>
        <v>-1296.2457627118645</v>
      </c>
      <c r="N40" s="6">
        <f t="shared" si="9"/>
        <v>302.88983050847469</v>
      </c>
      <c r="O40" s="6">
        <f t="shared" si="9"/>
        <v>476.33050847457616</v>
      </c>
      <c r="P40" s="6">
        <f t="shared" si="9"/>
        <v>91.354237288136574</v>
      </c>
    </row>
    <row r="41" spans="1:16" ht="33.75" customHeight="1">
      <c r="A41" s="72" t="s">
        <v>155</v>
      </c>
      <c r="B41" s="73"/>
      <c r="C41" s="46" t="s">
        <v>16</v>
      </c>
      <c r="D41" s="47">
        <f>D20-D18</f>
        <v>118.48899999999992</v>
      </c>
      <c r="E41" s="47">
        <f t="shared" ref="E41:P41" si="10">E20-E18</f>
        <v>193.67000000000007</v>
      </c>
      <c r="F41" s="47">
        <f t="shared" si="10"/>
        <v>-144.22099999999989</v>
      </c>
      <c r="G41" s="47">
        <f t="shared" si="10"/>
        <v>-27.331999999999994</v>
      </c>
      <c r="H41" s="47">
        <f t="shared" si="10"/>
        <v>-124.66200000000003</v>
      </c>
      <c r="I41" s="47">
        <f t="shared" si="10"/>
        <v>-1641.3830000000003</v>
      </c>
      <c r="J41" s="47">
        <f t="shared" si="10"/>
        <v>-933.90733898305098</v>
      </c>
      <c r="K41" s="47">
        <f t="shared" si="10"/>
        <v>-1449.705779661017</v>
      </c>
      <c r="L41" s="47">
        <f t="shared" si="10"/>
        <v>-1926.7340169491522</v>
      </c>
      <c r="M41" s="47">
        <f t="shared" si="10"/>
        <v>-318.32011016949173</v>
      </c>
      <c r="N41" s="47">
        <f t="shared" si="10"/>
        <v>-1331.1772881355937</v>
      </c>
      <c r="O41" s="47">
        <f t="shared" si="10"/>
        <v>-2181.7582627118645</v>
      </c>
      <c r="P41" s="47">
        <f t="shared" si="10"/>
        <v>-9767.0417966101686</v>
      </c>
    </row>
    <row r="42" spans="1:16" ht="33" customHeight="1">
      <c r="A42" s="74" t="s">
        <v>156</v>
      </c>
      <c r="B42" s="75"/>
      <c r="C42" s="4" t="s">
        <v>16</v>
      </c>
      <c r="D42" s="6">
        <f t="shared" ref="D42:P42" si="11">D30-D18</f>
        <v>-114.12455932203386</v>
      </c>
      <c r="E42" s="6">
        <f t="shared" si="11"/>
        <v>138.36830508474588</v>
      </c>
      <c r="F42" s="6">
        <f t="shared" si="11"/>
        <v>-39.897271186440435</v>
      </c>
      <c r="G42" s="6">
        <f t="shared" si="11"/>
        <v>256.47477966101701</v>
      </c>
      <c r="H42" s="6">
        <f t="shared" si="11"/>
        <v>-2.4281016949153127</v>
      </c>
      <c r="I42" s="6">
        <f t="shared" si="11"/>
        <v>-1616.5931694915257</v>
      </c>
      <c r="J42" s="6">
        <f t="shared" si="11"/>
        <v>-931.43276271186414</v>
      </c>
      <c r="K42" s="6">
        <f t="shared" si="11"/>
        <v>-1344.0549322033899</v>
      </c>
      <c r="L42" s="6">
        <f t="shared" si="11"/>
        <v>-1673.7187627118642</v>
      </c>
      <c r="M42" s="6">
        <f t="shared" si="11"/>
        <v>-1614.5658728813562</v>
      </c>
      <c r="N42" s="6">
        <f t="shared" si="11"/>
        <v>-1028.287457627119</v>
      </c>
      <c r="O42" s="6">
        <f t="shared" si="11"/>
        <v>-1705.4277542372884</v>
      </c>
      <c r="P42" s="6">
        <f t="shared" si="11"/>
        <v>-9675.687559322032</v>
      </c>
    </row>
    <row r="43" spans="1:16">
      <c r="A43" s="2"/>
      <c r="B43" s="3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>
      <c r="A44" s="2"/>
      <c r="B44" s="3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>
      <c r="A45" s="2"/>
      <c r="B45" s="3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>
      <c r="A46" s="2"/>
      <c r="B46" s="3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>
      <c r="A47" s="2"/>
      <c r="B47" s="3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>
      <c r="A48" s="2"/>
      <c r="B48" s="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15" customHeight="1">
      <c r="A49" s="2"/>
      <c r="B49" s="3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>
      <c r="A50" s="2"/>
      <c r="B50" s="3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>
      <c r="A51" s="2"/>
      <c r="B51" s="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>
      <c r="A52" s="2"/>
      <c r="B52" s="3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>
      <c r="A53" s="2"/>
      <c r="B53" s="3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>
      <c r="A54" s="2"/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>
      <c r="A55" s="2"/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>
      <c r="A56" s="2"/>
      <c r="B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>
      <c r="A57" s="2"/>
      <c r="B57" s="3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>
      <c r="A58" s="2"/>
      <c r="B58" s="3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>
      <c r="A59" s="2"/>
      <c r="B59" s="3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>
      <c r="A60" s="2"/>
      <c r="B60" s="3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>
      <c r="A61" s="2"/>
      <c r="B61" s="3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>
      <c r="A62" s="2"/>
      <c r="B62" s="3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>
      <c r="A63" s="2"/>
      <c r="B63" s="3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>
      <c r="A64" s="2"/>
      <c r="B64" s="3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>
      <c r="A65" s="2"/>
      <c r="B65" s="3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>
      <c r="A66" s="2"/>
      <c r="B66" s="3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>
      <c r="A67" s="2"/>
      <c r="B67" s="3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>
      <c r="A68" s="2"/>
      <c r="B68" s="3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>
      <c r="A69" s="2"/>
      <c r="B69" s="3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>
      <c r="A70" s="2"/>
      <c r="B70" s="3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>
      <c r="A71" s="2"/>
      <c r="B71" s="3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>
      <c r="A72" s="2"/>
      <c r="B72" s="3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15" customHeight="1">
      <c r="A73" s="2"/>
      <c r="B73" s="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15" customHeight="1">
      <c r="A74" s="2"/>
      <c r="B74" s="3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>
      <c r="A75" s="2"/>
      <c r="B75" s="3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>
      <c r="A76" s="2"/>
      <c r="B76" s="3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>
      <c r="A77" s="2"/>
      <c r="B77" s="3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>
      <c r="A78" s="2"/>
      <c r="B78" s="3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>
      <c r="A79" s="2"/>
      <c r="B79" s="3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>
      <c r="A81" s="2"/>
      <c r="B81" s="3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>
      <c r="A82" s="2"/>
      <c r="B82" s="3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>
      <c r="A83" s="2"/>
      <c r="B83" s="3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>
      <c r="A84" s="2"/>
      <c r="B84" s="3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>
      <c r="A85" s="2"/>
      <c r="B85" s="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>
      <c r="A86" s="2"/>
      <c r="B86" s="3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>
      <c r="A87" s="2"/>
      <c r="B87" s="3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>
      <c r="A88" s="2"/>
      <c r="B88" s="3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>
      <c r="A89" s="2"/>
      <c r="B89" s="3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>
      <c r="A90" s="2"/>
      <c r="B90" s="3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>
      <c r="A91" s="2"/>
      <c r="B91" s="3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>
      <c r="A92" s="2"/>
      <c r="B92" s="3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>
      <c r="A93" s="2"/>
      <c r="B93" s="3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>
      <c r="A94" s="2"/>
      <c r="B94" s="3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>
      <c r="A95" s="2"/>
      <c r="B95" s="3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>
      <c r="A96" s="2"/>
      <c r="B96" s="3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>
      <c r="A97" s="2"/>
      <c r="B97" s="3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>
      <c r="A98" s="2"/>
      <c r="B98" s="3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>
      <c r="A99" s="2"/>
      <c r="B99" s="3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>
      <c r="A100" s="2"/>
      <c r="B100" s="3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>
      <c r="A101" s="2"/>
      <c r="B101" s="3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>
      <c r="A102" s="2"/>
      <c r="B102" s="3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>
      <c r="A103" s="2"/>
      <c r="B103" s="3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>
      <c r="A104" s="2"/>
      <c r="B104" s="3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>
      <c r="A105" s="2"/>
      <c r="B105" s="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>
      <c r="A106" s="2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>
      <c r="A107" s="2"/>
      <c r="B107" s="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>
      <c r="A108" s="2"/>
      <c r="B108" s="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>
      <c r="A109" s="2"/>
      <c r="B109" s="3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>
      <c r="A110" s="2"/>
      <c r="B110" s="3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>
      <c r="A111" s="2"/>
      <c r="B111" s="3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>
      <c r="A112" s="2"/>
      <c r="B112" s="3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>
      <c r="A113" s="2"/>
      <c r="B113" s="3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>
      <c r="A114" s="2"/>
      <c r="B114" s="3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>
      <c r="A115" s="2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>
      <c r="A116" s="2"/>
      <c r="B116" s="3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>
      <c r="A117" s="2"/>
      <c r="B117" s="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>
      <c r="A118" s="2"/>
      <c r="B118" s="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>
      <c r="A119" s="2"/>
      <c r="B119" s="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>
      <c r="A120" s="2"/>
      <c r="B120" s="3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>
      <c r="A121" s="2"/>
      <c r="B121" s="3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>
      <c r="A122" s="2"/>
      <c r="B122" s="3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>
      <c r="A123" s="2"/>
      <c r="B123" s="3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>
      <c r="A124" s="2"/>
      <c r="B124" s="3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>
      <c r="A125" s="2"/>
      <c r="B125" s="3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>
      <c r="A126" s="2"/>
      <c r="B126" s="3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>
      <c r="A127" s="2"/>
      <c r="B127" s="3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>
      <c r="A128" s="2"/>
      <c r="B128" s="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>
      <c r="A129" s="2"/>
      <c r="B129" s="3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>
      <c r="A130" s="2"/>
      <c r="B130" s="3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>
      <c r="A131" s="2"/>
      <c r="B131" s="3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>
      <c r="A132" s="2"/>
      <c r="B132" s="3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>
      <c r="A133" s="2"/>
      <c r="B133" s="3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>
      <c r="A134" s="2"/>
      <c r="B134" s="3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>
      <c r="A135" s="2"/>
      <c r="B135" s="3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>
      <c r="A136" s="2"/>
      <c r="B136" s="3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>
      <c r="A137" s="2"/>
      <c r="B137" s="3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>
      <c r="A138" s="2"/>
      <c r="B138" s="3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>
      <c r="A139" s="2"/>
      <c r="B139" s="3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>
      <c r="A140" s="2"/>
      <c r="B140" s="3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>
      <c r="A141" s="2"/>
      <c r="B141" s="3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>
      <c r="A142" s="2"/>
      <c r="B142" s="3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>
      <c r="A143" s="2"/>
      <c r="B143" s="3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>
      <c r="A144" s="2"/>
      <c r="B144" s="3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>
      <c r="A145" s="2"/>
      <c r="B145" s="3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>
      <c r="A146" s="2"/>
      <c r="B146" s="3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>
      <c r="A147" s="2"/>
      <c r="B147" s="3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>
      <c r="A148" s="2"/>
      <c r="B148" s="3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>
      <c r="A149" s="2"/>
      <c r="B149" s="3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>
      <c r="A150" s="2"/>
      <c r="B150" s="3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>
      <c r="A151" s="2"/>
      <c r="B151" s="3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>
      <c r="A152" s="2"/>
      <c r="B152" s="3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>
      <c r="A153" s="2"/>
      <c r="B153" s="3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>
      <c r="A154" s="2"/>
      <c r="B154" s="3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>
      <c r="A155" s="2"/>
      <c r="B155" s="3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>
      <c r="A156" s="2"/>
      <c r="B156" s="3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>
      <c r="A157" s="2"/>
      <c r="B157" s="3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>
      <c r="A158" s="2"/>
      <c r="B158" s="3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>
      <c r="A159" s="2"/>
      <c r="B159" s="3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>
      <c r="A160" s="2"/>
      <c r="B160" s="3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>
      <c r="A161" s="2"/>
      <c r="B161" s="3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>
      <c r="A162" s="2"/>
      <c r="B162" s="3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>
      <c r="A163" s="2"/>
      <c r="B163" s="3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>
      <c r="A164" s="2"/>
      <c r="B164" s="3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>
      <c r="A165" s="2"/>
      <c r="B165" s="3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>
      <c r="A166" s="2"/>
      <c r="B166" s="3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>
      <c r="A167" s="2"/>
      <c r="B167" s="3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>
      <c r="A168" s="2"/>
      <c r="B168" s="3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>
      <c r="A169" s="2"/>
      <c r="B169" s="3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>
      <c r="A170" s="2"/>
      <c r="B170" s="3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>
      <c r="A171" s="2"/>
      <c r="B171" s="3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>
      <c r="A172" s="2"/>
      <c r="B172" s="3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>
      <c r="A173" s="2"/>
      <c r="B173" s="3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>
      <c r="A174" s="2"/>
      <c r="B174" s="3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>
      <c r="A175" s="2"/>
      <c r="B175" s="3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>
      <c r="A176" s="2"/>
      <c r="B176" s="3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>
      <c r="A177" s="2"/>
      <c r="B177" s="3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>
      <c r="A178" s="2"/>
      <c r="B178" s="3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>
      <c r="A179" s="2"/>
      <c r="B179" s="3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>
      <c r="A180" s="2"/>
      <c r="B180" s="3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>
      <c r="A181" s="2"/>
      <c r="B181" s="3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>
      <c r="A182" s="2"/>
      <c r="B182" s="3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>
      <c r="A183" s="2"/>
      <c r="B183" s="3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>
      <c r="A184" s="2"/>
      <c r="B184" s="3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>
      <c r="A185" s="2"/>
      <c r="B185" s="3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>
      <c r="A186" s="2"/>
      <c r="B186" s="3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>
      <c r="A187" s="2"/>
      <c r="B187" s="3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>
      <c r="A188" s="2"/>
      <c r="B188" s="3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>
      <c r="A189" s="2"/>
      <c r="B189" s="3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>
      <c r="A190" s="2"/>
      <c r="B190" s="3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>
      <c r="A191" s="2"/>
      <c r="B191" s="3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>
      <c r="A192" s="2"/>
      <c r="B192" s="3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>
      <c r="A193" s="2"/>
      <c r="B193" s="3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>
      <c r="A194" s="2"/>
      <c r="B194" s="3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>
      <c r="A195" s="2"/>
      <c r="B195" s="3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>
      <c r="A196" s="2"/>
      <c r="B196" s="3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>
      <c r="A197" s="2"/>
      <c r="B197" s="3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>
      <c r="A198" s="2"/>
      <c r="B198" s="3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>
      <c r="A199" s="2"/>
      <c r="B199" s="3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>
      <c r="A200" s="2"/>
      <c r="B200" s="3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>
      <c r="A201" s="2"/>
      <c r="B201" s="3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>
      <c r="A202" s="2"/>
      <c r="B202" s="3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>
      <c r="A203" s="2"/>
      <c r="B203" s="3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>
      <c r="A204" s="2"/>
      <c r="B204" s="3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>
      <c r="A205" s="2"/>
      <c r="B205" s="3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>
      <c r="A206" s="2"/>
      <c r="B206" s="3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>
      <c r="A207" s="2"/>
      <c r="B207" s="3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>
      <c r="A208" s="2"/>
      <c r="B208" s="3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>
      <c r="A209" s="2"/>
      <c r="B209" s="3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>
      <c r="A210" s="2"/>
      <c r="B210" s="3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>
      <c r="A211" s="2"/>
      <c r="B211" s="3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>
      <c r="A212" s="2"/>
      <c r="B212" s="3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>
      <c r="A213" s="2"/>
      <c r="B213" s="3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>
      <c r="A214" s="2"/>
      <c r="B214" s="3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>
      <c r="A215" s="2"/>
      <c r="B215" s="3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>
      <c r="A216" s="2"/>
      <c r="B216" s="3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>
      <c r="A217" s="2"/>
      <c r="B217" s="3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>
      <c r="A218" s="2"/>
      <c r="B218" s="3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>
      <c r="A219" s="2"/>
      <c r="B219" s="3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>
      <c r="A220" s="2"/>
      <c r="B220" s="3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>
      <c r="A221" s="2"/>
      <c r="B221" s="3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>
      <c r="A222" s="2"/>
      <c r="B222" s="3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>
      <c r="A223" s="2"/>
      <c r="B223" s="3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>
      <c r="A224" s="2"/>
      <c r="B224" s="3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>
      <c r="A225" s="2"/>
      <c r="B225" s="3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>
      <c r="A226" s="2"/>
      <c r="B226" s="3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>
      <c r="A227" s="2"/>
      <c r="B227" s="3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>
      <c r="A228" s="2"/>
      <c r="B228" s="3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>
      <c r="A229" s="2"/>
      <c r="B229" s="3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>
      <c r="A230" s="2"/>
      <c r="B230" s="3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>
      <c r="A231" s="2"/>
      <c r="B231" s="3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>
      <c r="A232" s="2"/>
      <c r="B232" s="3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>
      <c r="A233" s="2"/>
      <c r="B233" s="3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>
      <c r="A234" s="2"/>
      <c r="B234" s="3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>
      <c r="A235" s="2"/>
      <c r="B235" s="3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>
      <c r="A236" s="2"/>
      <c r="B236" s="3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>
      <c r="A237" s="2"/>
      <c r="B237" s="3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>
      <c r="A238" s="2"/>
      <c r="B238" s="3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>
      <c r="A239" s="2"/>
      <c r="B239" s="3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>
      <c r="A240" s="2"/>
      <c r="B240" s="3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>
      <c r="A241" s="2"/>
      <c r="B241" s="3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>
      <c r="A242" s="2"/>
      <c r="B242" s="3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>
      <c r="A243" s="2"/>
      <c r="B243" s="3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>
      <c r="A244" s="2"/>
      <c r="B244" s="3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>
      <c r="A245" s="2"/>
      <c r="B245" s="3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>
      <c r="A246" s="2"/>
      <c r="B246" s="3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>
      <c r="A247" s="2"/>
      <c r="B247" s="3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>
      <c r="A248" s="2"/>
      <c r="B248" s="3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>
      <c r="A249" s="2"/>
      <c r="B249" s="3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>
      <c r="A250" s="2"/>
      <c r="B250" s="3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>
      <c r="A251" s="2"/>
      <c r="B251" s="3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>
      <c r="A252" s="2"/>
      <c r="B252" s="3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>
      <c r="A253" s="2"/>
      <c r="B253" s="3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>
      <c r="A254" s="2"/>
      <c r="B254" s="3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>
      <c r="A255" s="2"/>
      <c r="B255" s="3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>
      <c r="A256" s="2"/>
      <c r="B256" s="3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>
      <c r="A257" s="2"/>
      <c r="B257" s="3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>
      <c r="A258" s="2"/>
      <c r="B258" s="3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>
      <c r="A259" s="2"/>
      <c r="B259" s="3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>
      <c r="A260" s="2"/>
      <c r="B260" s="3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>
      <c r="A261" s="2"/>
      <c r="B261" s="3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>
      <c r="A262" s="2"/>
      <c r="B262" s="3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>
      <c r="A263" s="2"/>
      <c r="B263" s="3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>
      <c r="A264" s="2"/>
      <c r="B264" s="3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>
      <c r="A265" s="2"/>
      <c r="B265" s="3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>
      <c r="A266" s="2"/>
      <c r="B266" s="3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>
      <c r="A267" s="2"/>
      <c r="B267" s="3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>
      <c r="A268" s="2"/>
      <c r="B268" s="3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>
      <c r="A269" s="2"/>
      <c r="B269" s="3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>
      <c r="A270" s="2"/>
      <c r="B270" s="3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>
      <c r="A271" s="2"/>
      <c r="B271" s="3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>
      <c r="A272" s="2"/>
      <c r="B272" s="3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>
      <c r="A273" s="2"/>
      <c r="B273" s="3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>
      <c r="A274" s="2"/>
      <c r="B274" s="3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>
      <c r="A275" s="2"/>
      <c r="B275" s="3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>
      <c r="A276" s="2"/>
      <c r="B276" s="3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>
      <c r="A277" s="2"/>
      <c r="B277" s="3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>
      <c r="A278" s="2"/>
      <c r="B278" s="3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>
      <c r="A279" s="2"/>
      <c r="B279" s="3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>
      <c r="A280" s="2"/>
      <c r="B280" s="3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>
      <c r="A281" s="2"/>
      <c r="B281" s="3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>
      <c r="A282" s="2"/>
      <c r="B282" s="3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>
      <c r="A283" s="2"/>
      <c r="B283" s="3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>
      <c r="A284" s="2"/>
      <c r="B284" s="3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>
      <c r="A285" s="2"/>
      <c r="B285" s="3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>
      <c r="A286" s="2"/>
      <c r="B286" s="3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>
      <c r="A287" s="2"/>
      <c r="B287" s="3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>
      <c r="A288" s="2"/>
      <c r="B288" s="3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>
      <c r="A289" s="2"/>
      <c r="B289" s="3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>
      <c r="A290" s="2"/>
      <c r="B290" s="3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>
      <c r="A291" s="2"/>
      <c r="B291" s="3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>
      <c r="A292" s="2"/>
      <c r="B292" s="3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>
      <c r="A293" s="2"/>
      <c r="B293" s="3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>
      <c r="A294" s="2"/>
      <c r="B294" s="3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>
      <c r="A295" s="2"/>
      <c r="B295" s="3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>
      <c r="A296" s="2"/>
      <c r="B296" s="3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>
      <c r="A297" s="2"/>
      <c r="B297" s="3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</sheetData>
  <mergeCells count="5">
    <mergeCell ref="A19:P19"/>
    <mergeCell ref="A41:B41"/>
    <mergeCell ref="A42:B42"/>
    <mergeCell ref="A1:P1"/>
    <mergeCell ref="A3:P3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434"/>
  <sheetViews>
    <sheetView topLeftCell="A4" zoomScale="60" zoomScaleNormal="60" workbookViewId="0">
      <selection activeCell="D25" sqref="D25"/>
    </sheetView>
  </sheetViews>
  <sheetFormatPr defaultRowHeight="15"/>
  <cols>
    <col min="1" max="1" width="7.28515625" style="1" customWidth="1"/>
    <col min="2" max="2" width="42.5703125" style="1" customWidth="1"/>
    <col min="3" max="3" width="10" style="1" customWidth="1"/>
    <col min="4" max="5" width="12.7109375" style="1" customWidth="1"/>
    <col min="6" max="6" width="12.85546875" style="1" customWidth="1"/>
    <col min="7" max="7" width="12.7109375" style="1" customWidth="1"/>
    <col min="8" max="8" width="13.28515625" style="1" customWidth="1"/>
    <col min="9" max="10" width="13.140625" style="1" customWidth="1"/>
    <col min="11" max="13" width="13.5703125" style="1" customWidth="1"/>
    <col min="14" max="14" width="12.5703125" style="1" customWidth="1"/>
    <col min="15" max="15" width="13" style="1" customWidth="1"/>
    <col min="16" max="16" width="14.85546875" style="1" customWidth="1"/>
    <col min="17" max="16384" width="9.140625" style="1"/>
  </cols>
  <sheetData>
    <row r="1" spans="1:16" ht="25.5" customHeight="1">
      <c r="A1" s="84" t="s">
        <v>108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ht="29.25" customHeight="1">
      <c r="A2" s="4" t="s">
        <v>0</v>
      </c>
      <c r="B2" s="4" t="s">
        <v>49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</row>
    <row r="3" spans="1:16" ht="29.25" customHeight="1">
      <c r="A3" s="77" t="s">
        <v>48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6" ht="17.25" customHeight="1">
      <c r="A4" s="4" t="s">
        <v>87</v>
      </c>
      <c r="B4" s="5" t="s">
        <v>22</v>
      </c>
      <c r="C4" s="4" t="s">
        <v>16</v>
      </c>
      <c r="D4" s="6">
        <f>(568145.9+5494.18+1087491.4+13212.31)/1000</f>
        <v>1674.3437900000001</v>
      </c>
      <c r="E4" s="6">
        <f>(621916.98+6193.1+1222440+13954.89)/1000</f>
        <v>1864.50497</v>
      </c>
      <c r="F4" s="6">
        <f>(551028.62+5410.77+1089352.09+13870.14)/1000</f>
        <v>1659.6616199999999</v>
      </c>
      <c r="G4" s="6">
        <f>(1492524.51)/1000</f>
        <v>1492.52451</v>
      </c>
      <c r="H4" s="6">
        <f>(1509.4+407202.57+1006615.16+4884)/1000</f>
        <v>1420.2111300000001</v>
      </c>
      <c r="I4" s="6">
        <f>(1175477.45)/1000</f>
        <v>1175.4774499999999</v>
      </c>
      <c r="J4" s="6">
        <f>(328182.9+2615.88+1018412.91+2790.15)/1000</f>
        <v>1352.0018399999999</v>
      </c>
      <c r="K4" s="6">
        <f>(353860.43+2216.82+1078559.67+5252.95)/1000</f>
        <v>1439.88987</v>
      </c>
      <c r="L4" s="6">
        <f>(329625.43+167038.43+2815.47)/1000</f>
        <v>499.47932999999995</v>
      </c>
      <c r="M4" s="6">
        <f>(464767.49+954186.85+2843.46)/1000</f>
        <v>1421.7977999999998</v>
      </c>
      <c r="N4" s="6">
        <f>(483834.2+958711.46+6296.93)/1000</f>
        <v>1448.8425899999997</v>
      </c>
      <c r="O4" s="6">
        <f>(528380.66+967482.43+2974.83)/1000</f>
        <v>1498.8379200000002</v>
      </c>
      <c r="P4" s="6">
        <f t="shared" ref="P4:P9" si="0">SUM(D4:O4)</f>
        <v>16947.572820000001</v>
      </c>
    </row>
    <row r="5" spans="1:16">
      <c r="A5" s="4" t="s">
        <v>36</v>
      </c>
      <c r="B5" s="5" t="s">
        <v>17</v>
      </c>
      <c r="C5" s="4" t="s">
        <v>19</v>
      </c>
      <c r="D5" s="6">
        <f>135325+1302+257711+3147</f>
        <v>397485</v>
      </c>
      <c r="E5" s="6">
        <f>140250+1389+274171+3147</f>
        <v>418957</v>
      </c>
      <c r="F5" s="6">
        <f>125023+1221+245824+3147</f>
        <v>375215</v>
      </c>
      <c r="G5" s="6">
        <f>410104</f>
        <v>410104</v>
      </c>
      <c r="H5" s="6">
        <f>407+110388+271428+1324</f>
        <v>383547</v>
      </c>
      <c r="I5" s="6">
        <v>317953</v>
      </c>
      <c r="J5" s="6">
        <f>84335+669+260455+717</f>
        <v>346176</v>
      </c>
      <c r="K5" s="6">
        <f>89190+556+270513+1324</f>
        <v>361583</v>
      </c>
      <c r="L5" s="6">
        <f>83944+235181+717</f>
        <v>319842</v>
      </c>
      <c r="M5" s="6">
        <f>117194+239423+717</f>
        <v>357334</v>
      </c>
      <c r="N5" s="6">
        <f>123273+243081+1603</f>
        <v>367957</v>
      </c>
      <c r="O5" s="6">
        <f>132625+241656+743</f>
        <v>375024</v>
      </c>
      <c r="P5" s="6">
        <f t="shared" si="0"/>
        <v>4431177</v>
      </c>
    </row>
    <row r="6" spans="1:16" ht="16.5" customHeight="1">
      <c r="A6" s="4" t="s">
        <v>37</v>
      </c>
      <c r="B6" s="5" t="s">
        <v>18</v>
      </c>
      <c r="C6" s="4" t="s">
        <v>20</v>
      </c>
      <c r="D6" s="6">
        <f>D4/D5*1000</f>
        <v>4.2123445916198099</v>
      </c>
      <c r="E6" s="6">
        <f t="shared" ref="E6:O6" si="1">E4/E5*1000</f>
        <v>4.4503492482522073</v>
      </c>
      <c r="F6" s="6">
        <f t="shared" si="1"/>
        <v>4.4232283357541666</v>
      </c>
      <c r="G6" s="6">
        <f t="shared" si="1"/>
        <v>3.6393805229892906</v>
      </c>
      <c r="H6" s="6">
        <f t="shared" si="1"/>
        <v>3.7028346721523051</v>
      </c>
      <c r="I6" s="6">
        <f t="shared" si="1"/>
        <v>3.6970163829245197</v>
      </c>
      <c r="J6" s="6">
        <f t="shared" si="1"/>
        <v>3.9055331392124235</v>
      </c>
      <c r="K6" s="6">
        <f t="shared" si="1"/>
        <v>3.9821835373897554</v>
      </c>
      <c r="L6" s="6">
        <f t="shared" si="1"/>
        <v>1.5616439679591798</v>
      </c>
      <c r="M6" s="6">
        <f t="shared" si="1"/>
        <v>3.9789043304023681</v>
      </c>
      <c r="N6" s="6">
        <f t="shared" si="1"/>
        <v>3.9375323475297384</v>
      </c>
      <c r="O6" s="6">
        <f t="shared" si="1"/>
        <v>3.9966453346985795</v>
      </c>
      <c r="P6" s="6">
        <f>SUM(D6:O6)/12</f>
        <v>3.7906330342403618</v>
      </c>
    </row>
    <row r="7" spans="1:16">
      <c r="A7" s="4" t="s">
        <v>88</v>
      </c>
      <c r="B7" s="5" t="s">
        <v>21</v>
      </c>
      <c r="C7" s="4" t="s">
        <v>16</v>
      </c>
      <c r="D7" s="6">
        <v>0</v>
      </c>
      <c r="E7" s="6">
        <f t="shared" ref="E7:O7" si="2">E8+E9</f>
        <v>0</v>
      </c>
      <c r="F7" s="6">
        <f t="shared" si="2"/>
        <v>0</v>
      </c>
      <c r="G7" s="6">
        <f t="shared" si="2"/>
        <v>0</v>
      </c>
      <c r="H7" s="6">
        <f t="shared" si="2"/>
        <v>0</v>
      </c>
      <c r="I7" s="6">
        <f t="shared" si="2"/>
        <v>0</v>
      </c>
      <c r="J7" s="6">
        <f t="shared" si="2"/>
        <v>0</v>
      </c>
      <c r="K7" s="6">
        <f t="shared" si="2"/>
        <v>0</v>
      </c>
      <c r="L7" s="6">
        <f t="shared" si="2"/>
        <v>0</v>
      </c>
      <c r="M7" s="6">
        <f t="shared" si="2"/>
        <v>0</v>
      </c>
      <c r="N7" s="6">
        <f t="shared" si="2"/>
        <v>0</v>
      </c>
      <c r="O7" s="6">
        <f t="shared" si="2"/>
        <v>0</v>
      </c>
      <c r="P7" s="6">
        <f t="shared" si="0"/>
        <v>0</v>
      </c>
    </row>
    <row r="8" spans="1:16" ht="15.75" customHeight="1">
      <c r="A8" s="4" t="s">
        <v>89</v>
      </c>
      <c r="B8" s="5" t="s">
        <v>17</v>
      </c>
      <c r="C8" s="4" t="s">
        <v>19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f t="shared" si="0"/>
        <v>0</v>
      </c>
    </row>
    <row r="9" spans="1:16" ht="16.5" customHeight="1">
      <c r="A9" s="4" t="s">
        <v>90</v>
      </c>
      <c r="B9" s="5" t="s">
        <v>18</v>
      </c>
      <c r="C9" s="4" t="s">
        <v>20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f t="shared" si="0"/>
        <v>0</v>
      </c>
    </row>
    <row r="10" spans="1:16" s="14" customFormat="1">
      <c r="A10" s="12" t="s">
        <v>91</v>
      </c>
      <c r="B10" s="22" t="s">
        <v>23</v>
      </c>
      <c r="C10" s="12" t="s">
        <v>16</v>
      </c>
      <c r="D10" s="13">
        <f>455024.55/1000</f>
        <v>455.02454999999998</v>
      </c>
      <c r="E10" s="13">
        <f>476410.09/1000</f>
        <v>476.41009000000003</v>
      </c>
      <c r="F10" s="13">
        <f>537250.79/1000</f>
        <v>537.25079000000005</v>
      </c>
      <c r="G10" s="13">
        <f>569507.11/1000</f>
        <v>569.50711000000001</v>
      </c>
      <c r="H10" s="13">
        <f>584038.75/1000</f>
        <v>584.03875000000005</v>
      </c>
      <c r="I10" s="13">
        <f>523571.87/1000</f>
        <v>523.57186999999999</v>
      </c>
      <c r="J10" s="13">
        <f>523325.59/1000</f>
        <v>523.32559000000003</v>
      </c>
      <c r="K10" s="13">
        <f>515585.02/1000</f>
        <v>515.58501999999999</v>
      </c>
      <c r="L10" s="13">
        <f>501263.03/1000</f>
        <v>501.26303000000001</v>
      </c>
      <c r="M10" s="13">
        <f>510964.58/1000</f>
        <v>510.96458000000001</v>
      </c>
      <c r="N10" s="13">
        <f>525424.72/1000</f>
        <v>525.42471999999998</v>
      </c>
      <c r="O10" s="13">
        <f>647907.34/1000</f>
        <v>647.90733999999998</v>
      </c>
      <c r="P10" s="13">
        <f t="shared" ref="P10:P18" si="3">SUM(D10:O10)</f>
        <v>6370.2734399999999</v>
      </c>
    </row>
    <row r="11" spans="1:16">
      <c r="A11" s="4" t="s">
        <v>38</v>
      </c>
      <c r="B11" s="5" t="s">
        <v>85</v>
      </c>
      <c r="C11" s="4" t="s">
        <v>30</v>
      </c>
      <c r="D11" s="6">
        <f>D10/D12*1000</f>
        <v>14219.5171875</v>
      </c>
      <c r="E11" s="6">
        <f t="shared" ref="E11:O11" si="4">E10/E12*1000</f>
        <v>14436.669393939395</v>
      </c>
      <c r="F11" s="6">
        <f t="shared" si="4"/>
        <v>16280.326969696973</v>
      </c>
      <c r="G11" s="6">
        <f t="shared" si="4"/>
        <v>17257.791212121214</v>
      </c>
      <c r="H11" s="6">
        <f t="shared" si="4"/>
        <v>17698.14393939394</v>
      </c>
      <c r="I11" s="6">
        <f t="shared" si="4"/>
        <v>15865.814242424243</v>
      </c>
      <c r="J11" s="6">
        <f t="shared" si="4"/>
        <v>15858.351212121213</v>
      </c>
      <c r="K11" s="6">
        <f t="shared" si="4"/>
        <v>16112.031874999999</v>
      </c>
      <c r="L11" s="6">
        <f t="shared" si="4"/>
        <v>16169.775161290325</v>
      </c>
      <c r="M11" s="6">
        <f t="shared" si="4"/>
        <v>16482.728387096773</v>
      </c>
      <c r="N11" s="6">
        <f t="shared" si="4"/>
        <v>16949.184516129029</v>
      </c>
      <c r="O11" s="6">
        <f t="shared" si="4"/>
        <v>20900.236774193549</v>
      </c>
      <c r="P11" s="6">
        <f>SUM(D11:O11)/12</f>
        <v>16519.214239242221</v>
      </c>
    </row>
    <row r="12" spans="1:16">
      <c r="A12" s="4" t="s">
        <v>39</v>
      </c>
      <c r="B12" s="5" t="s">
        <v>86</v>
      </c>
      <c r="C12" s="4" t="s">
        <v>31</v>
      </c>
      <c r="D12" s="6">
        <v>32</v>
      </c>
      <c r="E12" s="6">
        <v>33</v>
      </c>
      <c r="F12" s="6">
        <v>33</v>
      </c>
      <c r="G12" s="6">
        <v>33</v>
      </c>
      <c r="H12" s="6">
        <v>33</v>
      </c>
      <c r="I12" s="6">
        <v>33</v>
      </c>
      <c r="J12" s="6">
        <v>33</v>
      </c>
      <c r="K12" s="6">
        <v>32</v>
      </c>
      <c r="L12" s="6">
        <v>31</v>
      </c>
      <c r="M12" s="6">
        <v>31</v>
      </c>
      <c r="N12" s="6">
        <v>31</v>
      </c>
      <c r="O12" s="6">
        <v>31</v>
      </c>
      <c r="P12" s="6">
        <f t="shared" si="3"/>
        <v>386</v>
      </c>
    </row>
    <row r="13" spans="1:16">
      <c r="A13" s="4" t="s">
        <v>92</v>
      </c>
      <c r="B13" s="5" t="s">
        <v>24</v>
      </c>
      <c r="C13" s="4" t="s">
        <v>16</v>
      </c>
      <c r="D13" s="6">
        <v>139.41</v>
      </c>
      <c r="E13" s="6">
        <v>145.96</v>
      </c>
      <c r="F13" s="6">
        <v>162.15</v>
      </c>
      <c r="G13" s="6">
        <v>175.92</v>
      </c>
      <c r="H13" s="6">
        <v>185.29</v>
      </c>
      <c r="I13" s="6">
        <v>156.63999999999999</v>
      </c>
      <c r="J13" s="6">
        <v>159.56</v>
      </c>
      <c r="K13" s="6">
        <v>160.55000000000001</v>
      </c>
      <c r="L13" s="6">
        <v>150.88</v>
      </c>
      <c r="M13" s="6">
        <v>161.31</v>
      </c>
      <c r="N13" s="6">
        <v>154.6</v>
      </c>
      <c r="O13" s="6">
        <v>193.91</v>
      </c>
      <c r="P13" s="6">
        <f t="shared" si="3"/>
        <v>1946.1799999999996</v>
      </c>
    </row>
    <row r="14" spans="1:16">
      <c r="A14" s="4" t="s">
        <v>93</v>
      </c>
      <c r="B14" s="5" t="s">
        <v>25</v>
      </c>
      <c r="C14" s="4" t="s">
        <v>16</v>
      </c>
      <c r="D14" s="6">
        <v>248.35</v>
      </c>
      <c r="E14" s="6">
        <v>258.27999999999997</v>
      </c>
      <c r="F14" s="6">
        <v>269.36</v>
      </c>
      <c r="G14" s="6">
        <v>328.75</v>
      </c>
      <c r="H14" s="6">
        <v>264.48</v>
      </c>
      <c r="I14" s="6">
        <v>292.91000000000003</v>
      </c>
      <c r="J14" s="6">
        <v>285.39999999999998</v>
      </c>
      <c r="K14" s="6">
        <v>289.72000000000003</v>
      </c>
      <c r="L14" s="6">
        <v>303.27</v>
      </c>
      <c r="M14" s="6">
        <v>398</v>
      </c>
      <c r="N14" s="6">
        <v>303.67</v>
      </c>
      <c r="O14" s="6">
        <v>335.68</v>
      </c>
      <c r="P14" s="6">
        <f t="shared" si="3"/>
        <v>3577.87</v>
      </c>
    </row>
    <row r="15" spans="1:16" ht="15.75" customHeight="1">
      <c r="A15" s="4" t="s">
        <v>94</v>
      </c>
      <c r="B15" s="5" t="s">
        <v>35</v>
      </c>
      <c r="C15" s="4" t="s">
        <v>16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1266.67</v>
      </c>
      <c r="L15" s="6">
        <v>0</v>
      </c>
      <c r="M15" s="6">
        <v>0</v>
      </c>
      <c r="N15" s="6">
        <v>0</v>
      </c>
      <c r="O15" s="6">
        <v>0</v>
      </c>
      <c r="P15" s="6">
        <f t="shared" si="3"/>
        <v>1266.67</v>
      </c>
    </row>
    <row r="16" spans="1:16" ht="30" customHeight="1">
      <c r="A16" s="4" t="s">
        <v>95</v>
      </c>
      <c r="B16" s="5" t="s">
        <v>83</v>
      </c>
      <c r="C16" s="4" t="s">
        <v>16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f t="shared" si="3"/>
        <v>0</v>
      </c>
    </row>
    <row r="17" spans="1:16">
      <c r="A17" s="4" t="s">
        <v>111</v>
      </c>
      <c r="B17" s="5" t="s">
        <v>82</v>
      </c>
      <c r="C17" s="4" t="s">
        <v>16</v>
      </c>
      <c r="D17" s="6">
        <v>54.18</v>
      </c>
      <c r="E17" s="6">
        <v>22.33</v>
      </c>
      <c r="F17" s="6">
        <v>21.98</v>
      </c>
      <c r="G17" s="6">
        <v>144.94</v>
      </c>
      <c r="H17" s="6">
        <v>122.75</v>
      </c>
      <c r="I17" s="6">
        <v>126.84</v>
      </c>
      <c r="J17" s="6">
        <v>72.73</v>
      </c>
      <c r="K17" s="6">
        <v>82.16</v>
      </c>
      <c r="L17" s="6">
        <v>81.97</v>
      </c>
      <c r="M17" s="6">
        <v>81.59</v>
      </c>
      <c r="N17" s="6">
        <v>139.19</v>
      </c>
      <c r="O17" s="6">
        <v>95.15</v>
      </c>
      <c r="P17" s="6">
        <f t="shared" si="3"/>
        <v>1045.8100000000002</v>
      </c>
    </row>
    <row r="18" spans="1:16" ht="27.75" customHeight="1">
      <c r="A18" s="46" t="s">
        <v>96</v>
      </c>
      <c r="B18" s="50" t="s">
        <v>14</v>
      </c>
      <c r="C18" s="46" t="s">
        <v>16</v>
      </c>
      <c r="D18" s="47">
        <f t="shared" ref="D18:O18" si="5">D4+D7+D10+D13+D14+D15+D17</f>
        <v>2571.3083399999996</v>
      </c>
      <c r="E18" s="47">
        <f t="shared" si="5"/>
        <v>2767.48506</v>
      </c>
      <c r="F18" s="47">
        <f t="shared" si="5"/>
        <v>2650.4024100000001</v>
      </c>
      <c r="G18" s="47">
        <f t="shared" si="5"/>
        <v>2711.6416199999999</v>
      </c>
      <c r="H18" s="47">
        <f t="shared" si="5"/>
        <v>2576.7698800000003</v>
      </c>
      <c r="I18" s="47">
        <f t="shared" si="5"/>
        <v>2275.43932</v>
      </c>
      <c r="J18" s="47">
        <f t="shared" si="5"/>
        <v>2393.0174299999999</v>
      </c>
      <c r="K18" s="47">
        <f t="shared" si="5"/>
        <v>3754.5748899999999</v>
      </c>
      <c r="L18" s="47">
        <f t="shared" si="5"/>
        <v>1536.8623599999999</v>
      </c>
      <c r="M18" s="47">
        <f t="shared" si="5"/>
        <v>2573.6623800000002</v>
      </c>
      <c r="N18" s="47">
        <f t="shared" si="5"/>
        <v>2571.7273099999998</v>
      </c>
      <c r="O18" s="47">
        <f t="shared" si="5"/>
        <v>2771.4852599999999</v>
      </c>
      <c r="P18" s="47">
        <f t="shared" si="3"/>
        <v>31154.376259999997</v>
      </c>
    </row>
    <row r="19" spans="1:16">
      <c r="A19" s="77" t="s">
        <v>50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</row>
    <row r="20" spans="1:16" s="16" customFormat="1" ht="26.25" customHeight="1">
      <c r="A20" s="4" t="s">
        <v>97</v>
      </c>
      <c r="B20" s="50" t="s">
        <v>138</v>
      </c>
      <c r="C20" s="46" t="s">
        <v>16</v>
      </c>
      <c r="D20" s="47">
        <v>890.8</v>
      </c>
      <c r="E20" s="47">
        <v>924.4</v>
      </c>
      <c r="F20" s="47">
        <v>898.7</v>
      </c>
      <c r="G20" s="47">
        <v>1199.2</v>
      </c>
      <c r="H20" s="47">
        <v>887.7</v>
      </c>
      <c r="I20" s="47">
        <v>1017.9</v>
      </c>
      <c r="J20" s="47">
        <v>1023.4</v>
      </c>
      <c r="K20" s="47">
        <v>1048.5</v>
      </c>
      <c r="L20" s="47">
        <v>1080.42</v>
      </c>
      <c r="M20" s="47">
        <v>1561.1</v>
      </c>
      <c r="N20" s="47">
        <v>1108.0999999999999</v>
      </c>
      <c r="O20" s="47">
        <v>1115</v>
      </c>
      <c r="P20" s="47">
        <f t="shared" ref="P20" si="6">SUM(D20:O20)</f>
        <v>12755.22</v>
      </c>
    </row>
    <row r="21" spans="1:16">
      <c r="A21" s="4" t="s">
        <v>81</v>
      </c>
      <c r="B21" s="5" t="s">
        <v>53</v>
      </c>
      <c r="C21" s="4" t="s">
        <v>16</v>
      </c>
      <c r="D21" s="6">
        <f>1.01/1.18</f>
        <v>0.85593220338983056</v>
      </c>
      <c r="E21" s="6">
        <f>1.08/1.18</f>
        <v>0.91525423728813571</v>
      </c>
      <c r="F21" s="6">
        <f>0.63/1.18</f>
        <v>0.53389830508474578</v>
      </c>
      <c r="G21" s="6">
        <f>0.8/1.18</f>
        <v>0.67796610169491534</v>
      </c>
      <c r="H21" s="6">
        <f>1.18/1.18</f>
        <v>1</v>
      </c>
      <c r="I21" s="6">
        <v>0.8</v>
      </c>
      <c r="J21" s="6">
        <v>1.3</v>
      </c>
      <c r="K21" s="6">
        <v>1.5</v>
      </c>
      <c r="L21" s="6">
        <v>1.23</v>
      </c>
      <c r="M21" s="6">
        <v>0.92</v>
      </c>
      <c r="N21" s="6">
        <v>0.8</v>
      </c>
      <c r="O21" s="6">
        <v>0.8</v>
      </c>
      <c r="P21" s="6">
        <f t="shared" ref="P21:P41" si="7">SUM(D21:O21)</f>
        <v>11.333050847457628</v>
      </c>
    </row>
    <row r="22" spans="1:16">
      <c r="A22" s="4" t="s">
        <v>98</v>
      </c>
      <c r="B22" s="5" t="s">
        <v>55</v>
      </c>
      <c r="C22" s="4" t="s">
        <v>16</v>
      </c>
      <c r="D22" s="6">
        <f>69.4/1.18</f>
        <v>58.813559322033903</v>
      </c>
      <c r="E22" s="6">
        <v>56.7</v>
      </c>
      <c r="F22" s="6">
        <v>48.5</v>
      </c>
      <c r="G22" s="6">
        <v>49.8</v>
      </c>
      <c r="H22" s="6">
        <v>47.16</v>
      </c>
      <c r="I22" s="6">
        <v>46.6</v>
      </c>
      <c r="J22" s="6">
        <v>25.79</v>
      </c>
      <c r="K22" s="6">
        <v>68</v>
      </c>
      <c r="L22" s="6">
        <v>57.15</v>
      </c>
      <c r="M22" s="6">
        <v>64.37</v>
      </c>
      <c r="N22" s="6">
        <v>58.3</v>
      </c>
      <c r="O22" s="6">
        <v>81.5</v>
      </c>
      <c r="P22" s="6">
        <f t="shared" si="7"/>
        <v>662.68355932203394</v>
      </c>
    </row>
    <row r="23" spans="1:16">
      <c r="A23" s="4" t="s">
        <v>99</v>
      </c>
      <c r="B23" s="5" t="s">
        <v>57</v>
      </c>
      <c r="C23" s="4" t="s">
        <v>16</v>
      </c>
      <c r="D23" s="6">
        <f>45.2/1.18</f>
        <v>38.305084745762713</v>
      </c>
      <c r="E23" s="6">
        <v>39.9</v>
      </c>
      <c r="F23" s="6">
        <v>37.9</v>
      </c>
      <c r="G23" s="6">
        <v>40.6</v>
      </c>
      <c r="H23" s="6">
        <v>36.799999999999997</v>
      </c>
      <c r="I23" s="6">
        <v>36.4</v>
      </c>
      <c r="J23" s="6">
        <v>40.57</v>
      </c>
      <c r="K23" s="6">
        <v>32.9</v>
      </c>
      <c r="L23" s="6">
        <v>26.6</v>
      </c>
      <c r="M23" s="6">
        <v>38.68</v>
      </c>
      <c r="N23" s="6">
        <v>37.01</v>
      </c>
      <c r="O23" s="6">
        <v>36.4</v>
      </c>
      <c r="P23" s="6">
        <f t="shared" si="7"/>
        <v>442.0650847457627</v>
      </c>
    </row>
    <row r="24" spans="1:16">
      <c r="A24" s="4" t="s">
        <v>100</v>
      </c>
      <c r="B24" s="5" t="s">
        <v>59</v>
      </c>
      <c r="C24" s="4" t="s">
        <v>16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f t="shared" si="7"/>
        <v>0</v>
      </c>
    </row>
    <row r="25" spans="1:16">
      <c r="A25" s="4" t="s">
        <v>101</v>
      </c>
      <c r="B25" s="5" t="s">
        <v>61</v>
      </c>
      <c r="C25" s="4" t="s">
        <v>16</v>
      </c>
      <c r="D25" s="6">
        <f>166.39/1.18</f>
        <v>141.00847457627117</v>
      </c>
      <c r="E25" s="6">
        <v>58.37</v>
      </c>
      <c r="F25" s="6">
        <v>57.2</v>
      </c>
      <c r="G25" s="6">
        <v>0</v>
      </c>
      <c r="H25" s="6">
        <v>0</v>
      </c>
      <c r="I25" s="6">
        <v>147.9</v>
      </c>
      <c r="J25" s="6">
        <v>0</v>
      </c>
      <c r="K25" s="6">
        <v>85.92</v>
      </c>
      <c r="L25" s="6">
        <v>0</v>
      </c>
      <c r="M25" s="6">
        <v>33.299999999999997</v>
      </c>
      <c r="N25" s="6">
        <v>56</v>
      </c>
      <c r="O25" s="6">
        <v>-89.3</v>
      </c>
      <c r="P25" s="6">
        <f t="shared" si="7"/>
        <v>490.39847457627121</v>
      </c>
    </row>
    <row r="26" spans="1:16">
      <c r="A26" s="4" t="s">
        <v>102</v>
      </c>
      <c r="B26" s="5" t="s">
        <v>63</v>
      </c>
      <c r="C26" s="4" t="s">
        <v>16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f t="shared" si="7"/>
        <v>0</v>
      </c>
    </row>
    <row r="27" spans="1:16">
      <c r="A27" s="4" t="s">
        <v>103</v>
      </c>
      <c r="B27" s="5" t="s">
        <v>65</v>
      </c>
      <c r="C27" s="4" t="s">
        <v>16</v>
      </c>
      <c r="D27" s="6">
        <f>229.93/1.18</f>
        <v>194.85593220338984</v>
      </c>
      <c r="E27" s="6">
        <v>276.2</v>
      </c>
      <c r="F27" s="6">
        <v>265.60000000000002</v>
      </c>
      <c r="G27" s="6">
        <v>302.2</v>
      </c>
      <c r="H27" s="6">
        <v>280</v>
      </c>
      <c r="I27" s="6">
        <v>283.3</v>
      </c>
      <c r="J27" s="6">
        <v>325</v>
      </c>
      <c r="K27" s="6">
        <v>288.10000000000002</v>
      </c>
      <c r="L27" s="6">
        <v>0</v>
      </c>
      <c r="M27" s="6">
        <v>0</v>
      </c>
      <c r="N27" s="6">
        <v>0</v>
      </c>
      <c r="O27" s="6">
        <v>0</v>
      </c>
      <c r="P27" s="6">
        <f t="shared" si="7"/>
        <v>2215.2559322033899</v>
      </c>
    </row>
    <row r="28" spans="1:16">
      <c r="A28" s="4" t="s">
        <v>104</v>
      </c>
      <c r="B28" s="5" t="s">
        <v>67</v>
      </c>
      <c r="C28" s="4" t="s">
        <v>16</v>
      </c>
      <c r="D28" s="6">
        <f>406.51/1.18</f>
        <v>344.5</v>
      </c>
      <c r="E28" s="6">
        <v>370.7</v>
      </c>
      <c r="F28" s="6">
        <v>362</v>
      </c>
      <c r="G28" s="6">
        <v>397.3</v>
      </c>
      <c r="H28" s="6">
        <v>392.5</v>
      </c>
      <c r="I28" s="6">
        <v>407.8</v>
      </c>
      <c r="J28" s="6">
        <v>472</v>
      </c>
      <c r="K28" s="6">
        <v>470.8</v>
      </c>
      <c r="L28" s="6">
        <v>975.5</v>
      </c>
      <c r="M28" s="6">
        <v>814</v>
      </c>
      <c r="N28" s="6">
        <v>751</v>
      </c>
      <c r="O28" s="6">
        <v>798.8</v>
      </c>
      <c r="P28" s="6">
        <f t="shared" si="7"/>
        <v>6556.9000000000005</v>
      </c>
    </row>
    <row r="29" spans="1:16">
      <c r="A29" s="4" t="s">
        <v>105</v>
      </c>
      <c r="B29" s="5" t="s">
        <v>68</v>
      </c>
      <c r="C29" s="4" t="s">
        <v>16</v>
      </c>
      <c r="D29" s="6">
        <v>0</v>
      </c>
      <c r="E29" s="6">
        <v>0</v>
      </c>
      <c r="F29" s="6">
        <v>0</v>
      </c>
      <c r="G29" s="6">
        <v>257.2</v>
      </c>
      <c r="H29" s="6">
        <v>48</v>
      </c>
      <c r="I29" s="6">
        <v>55.74</v>
      </c>
      <c r="J29" s="6">
        <v>83</v>
      </c>
      <c r="K29" s="6">
        <v>72.8</v>
      </c>
      <c r="L29" s="6">
        <v>0</v>
      </c>
      <c r="M29" s="6">
        <v>446.2</v>
      </c>
      <c r="N29" s="6">
        <v>42.5</v>
      </c>
      <c r="O29" s="6">
        <v>45.2</v>
      </c>
      <c r="P29" s="6">
        <f t="shared" si="7"/>
        <v>1050.6400000000001</v>
      </c>
    </row>
    <row r="30" spans="1:16" ht="18" customHeight="1">
      <c r="A30" s="4" t="s">
        <v>106</v>
      </c>
      <c r="B30" s="5" t="s">
        <v>70</v>
      </c>
      <c r="C30" s="4" t="s">
        <v>16</v>
      </c>
      <c r="D30" s="6">
        <f>D20-D21-D22-D23-D24-D25-D26-D27-D28-D29</f>
        <v>112.46101694915257</v>
      </c>
      <c r="E30" s="6">
        <f>E20-E21-E22-E23-E24-E25-E26-E27-E28-E29</f>
        <v>121.61474576271189</v>
      </c>
      <c r="F30" s="6">
        <f>F20-F21-F22-F23-F24-F25-F26-F27-F28-F29</f>
        <v>126.96610169491521</v>
      </c>
      <c r="G30" s="6">
        <f>G20-G21-G22-G23-G24-G25-G26-G27-G28-G29</f>
        <v>151.42203389830524</v>
      </c>
      <c r="H30" s="6">
        <f t="shared" ref="H30:O30" si="8">H20-H21-H22-H23-H24-H25-H26-H27-H28-H29</f>
        <v>82.240000000000123</v>
      </c>
      <c r="I30" s="6">
        <f t="shared" si="8"/>
        <v>39.360000000000021</v>
      </c>
      <c r="J30" s="6">
        <f t="shared" si="8"/>
        <v>75.740000000000009</v>
      </c>
      <c r="K30" s="6">
        <f t="shared" si="8"/>
        <v>28.480000000000032</v>
      </c>
      <c r="L30" s="6">
        <f t="shared" si="8"/>
        <v>19.940000000000055</v>
      </c>
      <c r="M30" s="6">
        <f t="shared" si="8"/>
        <v>163.62999999999994</v>
      </c>
      <c r="N30" s="6">
        <f t="shared" si="8"/>
        <v>162.49</v>
      </c>
      <c r="O30" s="6">
        <f t="shared" si="8"/>
        <v>241.60000000000019</v>
      </c>
      <c r="P30" s="6">
        <f t="shared" si="7"/>
        <v>1325.9438983050852</v>
      </c>
    </row>
    <row r="31" spans="1:16" ht="32.25" customHeight="1">
      <c r="A31" s="29" t="s">
        <v>107</v>
      </c>
      <c r="B31" s="28" t="s">
        <v>140</v>
      </c>
      <c r="C31" s="29" t="s">
        <v>16</v>
      </c>
      <c r="D31" s="10">
        <f>SUM(D32:D41)</f>
        <v>427.73728813559319</v>
      </c>
      <c r="E31" s="10">
        <f t="shared" ref="E31:O31" si="9">SUM(E32:E41)</f>
        <v>619.09322033898309</v>
      </c>
      <c r="F31" s="10">
        <f t="shared" si="9"/>
        <v>753.24576271186447</v>
      </c>
      <c r="G31" s="10">
        <f t="shared" si="9"/>
        <v>1045.6864406779662</v>
      </c>
      <c r="H31" s="10">
        <f t="shared" si="9"/>
        <v>717.21186440677968</v>
      </c>
      <c r="I31" s="10">
        <f t="shared" si="9"/>
        <v>568.42372881355925</v>
      </c>
      <c r="J31" s="10">
        <f t="shared" si="9"/>
        <v>561.25423728813564</v>
      </c>
      <c r="K31" s="10">
        <f t="shared" si="9"/>
        <v>684.66101694915255</v>
      </c>
      <c r="L31" s="10">
        <f t="shared" si="9"/>
        <v>619.33050847457639</v>
      </c>
      <c r="M31" s="10">
        <f t="shared" si="9"/>
        <v>795.69491525423723</v>
      </c>
      <c r="N31" s="10">
        <f t="shared" si="9"/>
        <v>1345.4830508474579</v>
      </c>
      <c r="O31" s="10">
        <f t="shared" si="9"/>
        <v>588.24576271186447</v>
      </c>
      <c r="P31" s="10">
        <f t="shared" si="7"/>
        <v>8726.0677966101684</v>
      </c>
    </row>
    <row r="32" spans="1:16">
      <c r="A32" s="4" t="s">
        <v>112</v>
      </c>
      <c r="B32" s="5" t="s">
        <v>53</v>
      </c>
      <c r="C32" s="4" t="s">
        <v>16</v>
      </c>
      <c r="D32" s="6">
        <f>0.77/1.18</f>
        <v>0.65254237288135597</v>
      </c>
      <c r="E32" s="6">
        <f>0.94/1.18</f>
        <v>0.79661016949152541</v>
      </c>
      <c r="F32" s="6">
        <f>1.33/1.18</f>
        <v>1.1271186440677967</v>
      </c>
      <c r="G32" s="6">
        <f>0.53/1.18</f>
        <v>0.44915254237288138</v>
      </c>
      <c r="H32" s="6">
        <f>0.1/1.18</f>
        <v>8.4745762711864417E-2</v>
      </c>
      <c r="I32" s="6">
        <f>1.96/1.18</f>
        <v>1.6610169491525424</v>
      </c>
      <c r="J32" s="6">
        <f>0.6/1.18</f>
        <v>0.50847457627118642</v>
      </c>
      <c r="K32" s="6">
        <f>1.45/1.18</f>
        <v>1.228813559322034</v>
      </c>
      <c r="L32" s="6">
        <f>1.33/1.18</f>
        <v>1.1271186440677967</v>
      </c>
      <c r="M32" s="6">
        <f>1/1.18</f>
        <v>0.84745762711864414</v>
      </c>
      <c r="N32" s="6">
        <f>0.74/1.18</f>
        <v>0.6271186440677966</v>
      </c>
      <c r="O32" s="6">
        <f>2.05/1.18</f>
        <v>1.7372881355932204</v>
      </c>
      <c r="P32" s="6">
        <f t="shared" si="7"/>
        <v>10.847457627118644</v>
      </c>
    </row>
    <row r="33" spans="1:16">
      <c r="A33" s="4" t="s">
        <v>113</v>
      </c>
      <c r="B33" s="5" t="s">
        <v>55</v>
      </c>
      <c r="C33" s="4" t="s">
        <v>16</v>
      </c>
      <c r="D33" s="6">
        <f>36.36/1.18</f>
        <v>30.8135593220339</v>
      </c>
      <c r="E33" s="6">
        <f>27.74/1.18</f>
        <v>23.508474576271187</v>
      </c>
      <c r="F33" s="6">
        <f>77.97/1.18</f>
        <v>66.076271186440678</v>
      </c>
      <c r="G33" s="6">
        <f>51.05/1.18</f>
        <v>43.262711864406782</v>
      </c>
      <c r="H33" s="6">
        <f>48.19/1.18</f>
        <v>40.83898305084746</v>
      </c>
      <c r="I33" s="6">
        <f>45.92/1.18</f>
        <v>38.915254237288138</v>
      </c>
      <c r="J33" s="6">
        <f>45.09/1.18</f>
        <v>38.211864406779668</v>
      </c>
      <c r="K33" s="6">
        <f>59.72/1.18</f>
        <v>50.610169491525426</v>
      </c>
      <c r="L33" s="6">
        <f>64.01/1.18</f>
        <v>54.245762711864415</v>
      </c>
      <c r="M33" s="6">
        <f>50.78/1.18</f>
        <v>43.033898305084747</v>
      </c>
      <c r="N33" s="6">
        <f>59.35/1.18</f>
        <v>50.29661016949153</v>
      </c>
      <c r="O33" s="6">
        <f>113.83/1.18</f>
        <v>96.466101694915253</v>
      </c>
      <c r="P33" s="6">
        <f t="shared" si="7"/>
        <v>576.27966101694915</v>
      </c>
    </row>
    <row r="34" spans="1:16">
      <c r="A34" s="4" t="s">
        <v>114</v>
      </c>
      <c r="B34" s="5" t="s">
        <v>57</v>
      </c>
      <c r="C34" s="4" t="s">
        <v>16</v>
      </c>
      <c r="D34" s="6">
        <v>0</v>
      </c>
      <c r="E34" s="6">
        <f>33.41/1.18</f>
        <v>28.313559322033896</v>
      </c>
      <c r="F34" s="6">
        <f>149.61/1.18</f>
        <v>126.78813559322036</v>
      </c>
      <c r="G34" s="6">
        <f>103.81/1.18</f>
        <v>87.97457627118645</v>
      </c>
      <c r="H34" s="6">
        <f>44.49/1.18</f>
        <v>37.703389830508478</v>
      </c>
      <c r="I34" s="6">
        <f>20.93/1.18</f>
        <v>17.737288135593221</v>
      </c>
      <c r="J34" s="6">
        <f>20.32/1.18</f>
        <v>17.220338983050848</v>
      </c>
      <c r="K34" s="6">
        <f>66.45/1.18</f>
        <v>56.313559322033903</v>
      </c>
      <c r="L34" s="6">
        <f>65.67/1.18</f>
        <v>55.652542372881364</v>
      </c>
      <c r="M34" s="6">
        <f>50.03/1.18</f>
        <v>42.398305084745765</v>
      </c>
      <c r="N34" s="6">
        <f>45.86/1.18</f>
        <v>38.864406779661017</v>
      </c>
      <c r="O34" s="6">
        <f>0.19/1.18</f>
        <v>0.16101694915254239</v>
      </c>
      <c r="P34" s="6">
        <f t="shared" si="7"/>
        <v>509.12711864406782</v>
      </c>
    </row>
    <row r="35" spans="1:16">
      <c r="A35" s="4" t="s">
        <v>115</v>
      </c>
      <c r="B35" s="5" t="s">
        <v>59</v>
      </c>
      <c r="C35" s="4" t="s">
        <v>16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f>0.11/1.18</f>
        <v>9.3220338983050849E-2</v>
      </c>
      <c r="K35" s="6">
        <f>30.69/1.18</f>
        <v>26.00847457627119</v>
      </c>
      <c r="L35" s="6">
        <f>18.51/1.18</f>
        <v>15.686440677966104</v>
      </c>
      <c r="M35" s="6">
        <f>5.19/1.18</f>
        <v>4.398305084745763</v>
      </c>
      <c r="N35" s="6">
        <v>0</v>
      </c>
      <c r="O35" s="6">
        <v>0</v>
      </c>
      <c r="P35" s="6">
        <f t="shared" si="7"/>
        <v>46.186440677966111</v>
      </c>
    </row>
    <row r="36" spans="1:16">
      <c r="A36" s="4" t="s">
        <v>116</v>
      </c>
      <c r="B36" s="5" t="s">
        <v>61</v>
      </c>
      <c r="C36" s="4" t="s">
        <v>16</v>
      </c>
      <c r="D36" s="6">
        <f>18.07/1.18</f>
        <v>15.3135593220339</v>
      </c>
      <c r="E36" s="6">
        <f>15.06/1.18</f>
        <v>12.76271186440678</v>
      </c>
      <c r="F36" s="6">
        <v>0</v>
      </c>
      <c r="G36" s="6">
        <f>8.14/1.18</f>
        <v>6.8983050847457639</v>
      </c>
      <c r="H36" s="6">
        <v>0</v>
      </c>
      <c r="I36" s="6">
        <v>0</v>
      </c>
      <c r="J36" s="6">
        <v>0</v>
      </c>
      <c r="K36" s="6">
        <f>92.43/1.18</f>
        <v>78.330508474576277</v>
      </c>
      <c r="L36" s="6">
        <f>0.67/1.18</f>
        <v>0.56779661016949157</v>
      </c>
      <c r="M36" s="6">
        <f>112.4/1.18</f>
        <v>95.254237288135599</v>
      </c>
      <c r="N36" s="6">
        <f>72.66/1.18</f>
        <v>61.576271186440678</v>
      </c>
      <c r="O36" s="6">
        <f>27.34/1.18</f>
        <v>23.16949152542373</v>
      </c>
      <c r="P36" s="6">
        <f t="shared" si="7"/>
        <v>293.87288135593224</v>
      </c>
    </row>
    <row r="37" spans="1:16">
      <c r="A37" s="4" t="s">
        <v>117</v>
      </c>
      <c r="B37" s="5" t="s">
        <v>63</v>
      </c>
      <c r="C37" s="4" t="s">
        <v>16</v>
      </c>
      <c r="D37" s="6">
        <f>0.48/1.18</f>
        <v>0.40677966101694918</v>
      </c>
      <c r="E37" s="6">
        <v>0</v>
      </c>
      <c r="F37" s="6">
        <f>0.73/1.18</f>
        <v>0.61864406779661019</v>
      </c>
      <c r="G37" s="6">
        <v>0</v>
      </c>
      <c r="H37" s="6">
        <v>0</v>
      </c>
      <c r="I37" s="6">
        <v>0</v>
      </c>
      <c r="J37" s="6">
        <f>0.1/1.18</f>
        <v>8.4745762711864417E-2</v>
      </c>
      <c r="K37" s="6">
        <f>18.19/1.18</f>
        <v>15.415254237288137</v>
      </c>
      <c r="L37" s="6">
        <v>0</v>
      </c>
      <c r="M37" s="6">
        <v>0</v>
      </c>
      <c r="N37" s="6">
        <f>17.31/1.18</f>
        <v>14.669491525423728</v>
      </c>
      <c r="O37" s="6">
        <v>0</v>
      </c>
      <c r="P37" s="6">
        <f t="shared" si="7"/>
        <v>31.194915254237287</v>
      </c>
    </row>
    <row r="38" spans="1:16">
      <c r="A38" s="4" t="s">
        <v>118</v>
      </c>
      <c r="B38" s="5" t="s">
        <v>65</v>
      </c>
      <c r="C38" s="4" t="s">
        <v>16</v>
      </c>
      <c r="D38" s="6">
        <f>88.97/1.18</f>
        <v>75.398305084745772</v>
      </c>
      <c r="E38" s="6">
        <f>288.52/1.18</f>
        <v>244.5084745762712</v>
      </c>
      <c r="F38" s="6">
        <f>327.89/1.18</f>
        <v>277.87288135593218</v>
      </c>
      <c r="G38" s="6">
        <f>353.13/1.18</f>
        <v>299.26271186440681</v>
      </c>
      <c r="H38" s="6">
        <f>352.33/1.18</f>
        <v>298.58474576271186</v>
      </c>
      <c r="I38" s="6">
        <f>182.6/1.18</f>
        <v>154.74576271186442</v>
      </c>
      <c r="J38" s="6">
        <f>135.77/1.18</f>
        <v>115.05932203389833</v>
      </c>
      <c r="K38" s="6">
        <f>24.51/1.18</f>
        <v>20.771186440677969</v>
      </c>
      <c r="L38" s="6">
        <f>43.96/1.18</f>
        <v>37.254237288135599</v>
      </c>
      <c r="M38" s="6">
        <f>43.25/1.18</f>
        <v>36.652542372881356</v>
      </c>
      <c r="N38" s="6">
        <f>708.87/1.18</f>
        <v>600.7372881355933</v>
      </c>
      <c r="O38" s="6">
        <f>179.63/1.18</f>
        <v>152.22881355932205</v>
      </c>
      <c r="P38" s="6">
        <f t="shared" si="7"/>
        <v>2313.0762711864409</v>
      </c>
    </row>
    <row r="39" spans="1:16" ht="15" customHeight="1">
      <c r="A39" s="4" t="s">
        <v>119</v>
      </c>
      <c r="B39" s="5" t="s">
        <v>67</v>
      </c>
      <c r="C39" s="4" t="s">
        <v>16</v>
      </c>
      <c r="D39" s="8">
        <f>(417.23-41.25-54.43)/1.18</f>
        <v>272.5</v>
      </c>
      <c r="E39" s="8">
        <f>(384.63-41.25-54.43)/1.18</f>
        <v>244.87288135593221</v>
      </c>
      <c r="F39" s="8">
        <f>(388.48-41.25-54.43)/1.18</f>
        <v>248.13559322033902</v>
      </c>
      <c r="G39" s="8">
        <f>(527.76-41.25-54.43)/1.18</f>
        <v>366.16949152542372</v>
      </c>
      <c r="H39" s="8">
        <f>(444.43-41.25-54.43)/1.18</f>
        <v>295.55084745762713</v>
      </c>
      <c r="I39" s="8">
        <f>(458.17-41.25-54.43)/1.18</f>
        <v>307.19491525423729</v>
      </c>
      <c r="J39" s="8">
        <f>(433.78-41.25-54.43)/1.18</f>
        <v>286.52542372881356</v>
      </c>
      <c r="K39" s="8">
        <f>(520.25-41.25-54.43)/1.18</f>
        <v>359.80508474576271</v>
      </c>
      <c r="L39" s="8">
        <f>(550.26-41.25-54.43)/1.18</f>
        <v>385.23728813559325</v>
      </c>
      <c r="M39" s="8">
        <f>(499.85-41.25-54.43)/1.18</f>
        <v>342.5169491525424</v>
      </c>
      <c r="N39" s="8">
        <f>(666.07-41.25-54.43)/1.18</f>
        <v>483.38135593220352</v>
      </c>
      <c r="O39" s="8">
        <f>(359.27-41.25-54.43)/1.18</f>
        <v>223.38135593220338</v>
      </c>
      <c r="P39" s="8">
        <f t="shared" si="7"/>
        <v>3815.2711864406783</v>
      </c>
    </row>
    <row r="40" spans="1:16" ht="14.25" customHeight="1">
      <c r="A40" s="4" t="s">
        <v>120</v>
      </c>
      <c r="B40" s="5" t="s">
        <v>68</v>
      </c>
      <c r="C40" s="4" t="s">
        <v>16</v>
      </c>
      <c r="D40" s="6">
        <v>0</v>
      </c>
      <c r="E40" s="6">
        <v>0</v>
      </c>
      <c r="F40" s="6">
        <v>0</v>
      </c>
      <c r="G40" s="6">
        <f>240.28/1.18</f>
        <v>203.62711864406782</v>
      </c>
      <c r="H40" s="6">
        <f>28.71/1.18</f>
        <v>24.330508474576273</v>
      </c>
      <c r="I40" s="6">
        <f>1.01/1.18</f>
        <v>0.85593220338983056</v>
      </c>
      <c r="J40" s="6">
        <f>84.57/1.18</f>
        <v>71.669491525423723</v>
      </c>
      <c r="K40" s="6">
        <f>53.02/1.18</f>
        <v>44.932203389830512</v>
      </c>
      <c r="L40" s="6">
        <v>0</v>
      </c>
      <c r="M40" s="6">
        <f>217.33/1.18</f>
        <v>184.17796610169495</v>
      </c>
      <c r="N40" s="6">
        <f>76.41/1.18</f>
        <v>64.754237288135599</v>
      </c>
      <c r="O40" s="6">
        <f>53.41/1.18</f>
        <v>45.262711864406782</v>
      </c>
      <c r="P40" s="6">
        <f t="shared" si="7"/>
        <v>639.61016949152565</v>
      </c>
    </row>
    <row r="41" spans="1:16" ht="14.25" customHeight="1">
      <c r="A41" s="4" t="s">
        <v>121</v>
      </c>
      <c r="B41" s="5" t="s">
        <v>70</v>
      </c>
      <c r="C41" s="4" t="s">
        <v>16</v>
      </c>
      <c r="D41" s="6">
        <f>38.53/1.18</f>
        <v>32.652542372881356</v>
      </c>
      <c r="E41" s="6">
        <f>75.91/1.18</f>
        <v>64.330508474576277</v>
      </c>
      <c r="F41" s="6">
        <f>38.5/1.18</f>
        <v>32.627118644067799</v>
      </c>
      <c r="G41" s="6">
        <f>44.89/1.18</f>
        <v>38.042372881355938</v>
      </c>
      <c r="H41" s="6">
        <f>23.74/1.18</f>
        <v>20.118644067796609</v>
      </c>
      <c r="I41" s="6">
        <f>55.83/1.18</f>
        <v>47.313559322033896</v>
      </c>
      <c r="J41" s="6">
        <f>37.62/1.18</f>
        <v>31.881355932203391</v>
      </c>
      <c r="K41" s="6">
        <f>36.87/1.18</f>
        <v>31.245762711864405</v>
      </c>
      <c r="L41" s="6">
        <f>82.08/1.18</f>
        <v>69.559322033898312</v>
      </c>
      <c r="M41" s="6">
        <f>54.77/1.18</f>
        <v>46.415254237288138</v>
      </c>
      <c r="N41" s="6">
        <f>36.08/1.18</f>
        <v>30.576271186440678</v>
      </c>
      <c r="O41" s="6">
        <f>54.09/1.18</f>
        <v>45.83898305084746</v>
      </c>
      <c r="P41" s="6">
        <f t="shared" si="7"/>
        <v>490.60169491525426</v>
      </c>
    </row>
    <row r="42" spans="1:16" ht="30">
      <c r="A42" s="4" t="s">
        <v>122</v>
      </c>
      <c r="B42" s="5" t="s">
        <v>157</v>
      </c>
      <c r="C42" s="4" t="s">
        <v>16</v>
      </c>
      <c r="D42" s="6">
        <f>D31-D20</f>
        <v>-463.06271186440677</v>
      </c>
      <c r="E42" s="6">
        <f t="shared" ref="E42:P42" si="10">E31-E20</f>
        <v>-305.30677966101689</v>
      </c>
      <c r="F42" s="6">
        <f t="shared" si="10"/>
        <v>-145.45423728813557</v>
      </c>
      <c r="G42" s="6">
        <f t="shared" si="10"/>
        <v>-153.51355932203387</v>
      </c>
      <c r="H42" s="6">
        <f t="shared" si="10"/>
        <v>-170.48813559322036</v>
      </c>
      <c r="I42" s="6">
        <f t="shared" si="10"/>
        <v>-449.47627118644073</v>
      </c>
      <c r="J42" s="6">
        <f t="shared" si="10"/>
        <v>-462.14576271186434</v>
      </c>
      <c r="K42" s="6">
        <f t="shared" si="10"/>
        <v>-363.83898305084745</v>
      </c>
      <c r="L42" s="6">
        <f t="shared" si="10"/>
        <v>-461.08949152542368</v>
      </c>
      <c r="M42" s="6">
        <f t="shared" si="10"/>
        <v>-765.40508474576268</v>
      </c>
      <c r="N42" s="6">
        <f t="shared" si="10"/>
        <v>237.38305084745798</v>
      </c>
      <c r="O42" s="6">
        <f t="shared" si="10"/>
        <v>-526.75423728813553</v>
      </c>
      <c r="P42" s="6">
        <f t="shared" si="10"/>
        <v>-4029.1522033898309</v>
      </c>
    </row>
    <row r="43" spans="1:16" ht="38.25" customHeight="1">
      <c r="A43" s="72" t="s">
        <v>155</v>
      </c>
      <c r="B43" s="73"/>
      <c r="C43" s="46" t="s">
        <v>16</v>
      </c>
      <c r="D43" s="47">
        <f>D20-D18</f>
        <v>-1680.5083399999996</v>
      </c>
      <c r="E43" s="47">
        <f t="shared" ref="E43:P43" si="11">E20-E18</f>
        <v>-1843.0850599999999</v>
      </c>
      <c r="F43" s="47">
        <f t="shared" si="11"/>
        <v>-1751.7024100000001</v>
      </c>
      <c r="G43" s="47">
        <f t="shared" si="11"/>
        <v>-1512.4416199999998</v>
      </c>
      <c r="H43" s="47">
        <f t="shared" si="11"/>
        <v>-1689.0698800000002</v>
      </c>
      <c r="I43" s="47">
        <f t="shared" si="11"/>
        <v>-1257.5393199999999</v>
      </c>
      <c r="J43" s="47">
        <f t="shared" si="11"/>
        <v>-1369.6174299999998</v>
      </c>
      <c r="K43" s="47">
        <f t="shared" si="11"/>
        <v>-2706.0748899999999</v>
      </c>
      <c r="L43" s="47">
        <f t="shared" si="11"/>
        <v>-456.44235999999978</v>
      </c>
      <c r="M43" s="47">
        <f t="shared" si="11"/>
        <v>-1012.5623800000003</v>
      </c>
      <c r="N43" s="47">
        <f t="shared" si="11"/>
        <v>-1463.6273099999999</v>
      </c>
      <c r="O43" s="47">
        <f t="shared" si="11"/>
        <v>-1656.4852599999999</v>
      </c>
      <c r="P43" s="47">
        <f t="shared" si="11"/>
        <v>-18399.156259999996</v>
      </c>
    </row>
    <row r="44" spans="1:16" ht="30" customHeight="1">
      <c r="A44" s="74" t="s">
        <v>156</v>
      </c>
      <c r="B44" s="75"/>
      <c r="C44" s="4" t="s">
        <v>16</v>
      </c>
      <c r="D44" s="6">
        <f>D31-D18</f>
        <v>-2143.5710518644064</v>
      </c>
      <c r="E44" s="6">
        <f t="shared" ref="E44:P44" si="12">E31-E18</f>
        <v>-2148.391839661017</v>
      </c>
      <c r="F44" s="6">
        <f t="shared" si="12"/>
        <v>-1897.1566472881357</v>
      </c>
      <c r="G44" s="6">
        <f t="shared" si="12"/>
        <v>-1665.9551793220337</v>
      </c>
      <c r="H44" s="6">
        <f t="shared" si="12"/>
        <v>-1859.5580155932207</v>
      </c>
      <c r="I44" s="6">
        <f t="shared" si="12"/>
        <v>-1707.0155911864408</v>
      </c>
      <c r="J44" s="6">
        <f t="shared" si="12"/>
        <v>-1831.7631927118641</v>
      </c>
      <c r="K44" s="6">
        <f t="shared" si="12"/>
        <v>-3069.9138730508475</v>
      </c>
      <c r="L44" s="6">
        <f t="shared" si="12"/>
        <v>-917.53185152542346</v>
      </c>
      <c r="M44" s="6">
        <f t="shared" si="12"/>
        <v>-1777.967464745763</v>
      </c>
      <c r="N44" s="6">
        <f t="shared" si="12"/>
        <v>-1226.2442591525419</v>
      </c>
      <c r="O44" s="6">
        <f t="shared" si="12"/>
        <v>-2183.2394972881357</v>
      </c>
      <c r="P44" s="6">
        <f t="shared" si="12"/>
        <v>-22428.308463389829</v>
      </c>
    </row>
    <row r="45" spans="1:16">
      <c r="A45" s="2"/>
      <c r="B45" s="3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>
      <c r="A46" s="2"/>
      <c r="B46" s="3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>
      <c r="A47" s="2"/>
      <c r="B47" s="3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>
      <c r="A48" s="2"/>
      <c r="B48" s="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>
      <c r="A49" s="2"/>
      <c r="B49" s="3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>
      <c r="A50" s="2"/>
      <c r="B50" s="3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>
      <c r="A51" s="2"/>
      <c r="B51" s="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>
      <c r="A52" s="2"/>
      <c r="B52" s="3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>
      <c r="A53" s="2"/>
      <c r="B53" s="3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>
      <c r="A54" s="2"/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>
      <c r="A55" s="2"/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>
      <c r="A56" s="2"/>
      <c r="B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>
      <c r="A57" s="2"/>
      <c r="B57" s="3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>
      <c r="A58" s="2"/>
      <c r="B58" s="3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>
      <c r="A59" s="2"/>
      <c r="B59" s="3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>
      <c r="A60" s="2"/>
      <c r="B60" s="3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>
      <c r="A61" s="2"/>
      <c r="B61" s="3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>
      <c r="A62" s="2"/>
      <c r="B62" s="3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>
      <c r="A63" s="2"/>
      <c r="B63" s="3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>
      <c r="A64" s="2"/>
      <c r="B64" s="3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>
      <c r="A65" s="2"/>
      <c r="B65" s="3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>
      <c r="A66" s="2"/>
      <c r="B66" s="3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>
      <c r="A67" s="2"/>
      <c r="B67" s="3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>
      <c r="A68" s="2"/>
      <c r="B68" s="3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>
      <c r="A69" s="2"/>
      <c r="B69" s="3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>
      <c r="A70" s="2"/>
      <c r="B70" s="3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>
      <c r="A71" s="2"/>
      <c r="B71" s="3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>
      <c r="A72" s="2"/>
      <c r="B72" s="3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>
      <c r="A73" s="2"/>
      <c r="B73" s="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>
      <c r="A74" s="2"/>
      <c r="B74" s="3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>
      <c r="A75" s="2"/>
      <c r="B75" s="3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>
      <c r="A76" s="2"/>
      <c r="B76" s="3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>
      <c r="A77" s="2"/>
      <c r="B77" s="3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>
      <c r="A78" s="2"/>
      <c r="B78" s="3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>
      <c r="A79" s="2"/>
      <c r="B79" s="3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>
      <c r="A81" s="2"/>
      <c r="B81" s="3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>
      <c r="A82" s="2"/>
      <c r="B82" s="3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>
      <c r="A83" s="2"/>
      <c r="B83" s="3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>
      <c r="A84" s="2"/>
      <c r="B84" s="3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>
      <c r="A85" s="2"/>
      <c r="B85" s="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>
      <c r="A86" s="2"/>
      <c r="B86" s="3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>
      <c r="A87" s="2"/>
      <c r="B87" s="3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>
      <c r="A88" s="2"/>
      <c r="B88" s="3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>
      <c r="A89" s="2"/>
      <c r="B89" s="3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>
      <c r="A90" s="2"/>
      <c r="B90" s="3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>
      <c r="A91" s="2"/>
      <c r="B91" s="3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>
      <c r="A92" s="2"/>
      <c r="B92" s="3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>
      <c r="A93" s="2"/>
      <c r="B93" s="3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>
      <c r="A94" s="2"/>
      <c r="B94" s="3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>
      <c r="A95" s="2"/>
      <c r="B95" s="3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>
      <c r="A96" s="2"/>
      <c r="B96" s="3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>
      <c r="A97" s="2"/>
      <c r="B97" s="3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>
      <c r="A98" s="2"/>
      <c r="B98" s="3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>
      <c r="A99" s="2"/>
      <c r="B99" s="3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>
      <c r="A100" s="2"/>
      <c r="B100" s="3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>
      <c r="A101" s="2"/>
      <c r="B101" s="3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>
      <c r="A102" s="2"/>
      <c r="B102" s="3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>
      <c r="A103" s="2"/>
      <c r="B103" s="3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>
      <c r="A104" s="2"/>
      <c r="B104" s="3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>
      <c r="A105" s="2"/>
      <c r="B105" s="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>
      <c r="A106" s="2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>
      <c r="A107" s="2"/>
      <c r="B107" s="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>
      <c r="A108" s="2"/>
      <c r="B108" s="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>
      <c r="A109" s="2"/>
      <c r="B109" s="3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>
      <c r="A110" s="2"/>
      <c r="B110" s="3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>
      <c r="A111" s="2"/>
      <c r="B111" s="3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>
      <c r="A112" s="2"/>
      <c r="B112" s="3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>
      <c r="A113" s="2"/>
      <c r="B113" s="3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>
      <c r="A114" s="2"/>
      <c r="B114" s="3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>
      <c r="A115" s="2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>
      <c r="A116" s="2"/>
      <c r="B116" s="3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>
      <c r="A117" s="2"/>
      <c r="B117" s="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>
      <c r="A118" s="2"/>
      <c r="B118" s="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>
      <c r="A119" s="2"/>
      <c r="B119" s="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>
      <c r="A120" s="2"/>
      <c r="B120" s="3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>
      <c r="A121" s="2"/>
      <c r="B121" s="3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>
      <c r="A122" s="2"/>
      <c r="B122" s="3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>
      <c r="A123" s="2"/>
      <c r="B123" s="3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>
      <c r="A124" s="2"/>
      <c r="B124" s="3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>
      <c r="A125" s="2"/>
      <c r="B125" s="3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>
      <c r="A126" s="2"/>
      <c r="B126" s="3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>
      <c r="A127" s="2"/>
      <c r="B127" s="3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>
      <c r="A128" s="2"/>
      <c r="B128" s="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>
      <c r="A129" s="2"/>
      <c r="B129" s="3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>
      <c r="A130" s="2"/>
      <c r="B130" s="3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>
      <c r="A131" s="2"/>
      <c r="B131" s="3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>
      <c r="A132" s="2"/>
      <c r="B132" s="3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>
      <c r="A133" s="2"/>
      <c r="B133" s="3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>
      <c r="A134" s="2"/>
      <c r="B134" s="3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>
      <c r="A135" s="2"/>
      <c r="B135" s="3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>
      <c r="A136" s="2"/>
      <c r="B136" s="3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>
      <c r="A137" s="2"/>
      <c r="B137" s="3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>
      <c r="A138" s="2"/>
      <c r="B138" s="3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>
      <c r="A139" s="2"/>
      <c r="B139" s="3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>
      <c r="A140" s="2"/>
      <c r="B140" s="3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>
      <c r="A141" s="2"/>
      <c r="B141" s="3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>
      <c r="A142" s="2"/>
      <c r="B142" s="3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>
      <c r="A143" s="2"/>
      <c r="B143" s="3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>
      <c r="A144" s="2"/>
      <c r="B144" s="3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>
      <c r="A145" s="2"/>
      <c r="B145" s="3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>
      <c r="A146" s="2"/>
      <c r="B146" s="3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>
      <c r="A147" s="2"/>
      <c r="B147" s="3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>
      <c r="A148" s="2"/>
      <c r="B148" s="3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>
      <c r="A149" s="2"/>
      <c r="B149" s="3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>
      <c r="A150" s="2"/>
      <c r="B150" s="3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>
      <c r="A151" s="2"/>
      <c r="B151" s="3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>
      <c r="A152" s="2"/>
      <c r="B152" s="3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>
      <c r="A153" s="2"/>
      <c r="B153" s="3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>
      <c r="A154" s="2"/>
      <c r="B154" s="3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>
      <c r="A155" s="2"/>
      <c r="B155" s="3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>
      <c r="A156" s="2"/>
      <c r="B156" s="3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>
      <c r="A157" s="2"/>
      <c r="B157" s="3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>
      <c r="A158" s="2"/>
      <c r="B158" s="3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>
      <c r="A159" s="2"/>
      <c r="B159" s="3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>
      <c r="A160" s="2"/>
      <c r="B160" s="3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>
      <c r="A161" s="2"/>
      <c r="B161" s="3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>
      <c r="A162" s="2"/>
      <c r="B162" s="3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>
      <c r="A163" s="2"/>
      <c r="B163" s="3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>
      <c r="A164" s="2"/>
      <c r="B164" s="3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>
      <c r="A165" s="2"/>
      <c r="B165" s="3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>
      <c r="A166" s="2"/>
      <c r="B166" s="3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>
      <c r="A167" s="2"/>
      <c r="B167" s="3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>
      <c r="A168" s="2"/>
      <c r="B168" s="3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>
      <c r="A169" s="2"/>
      <c r="B169" s="3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>
      <c r="A170" s="2"/>
      <c r="B170" s="3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>
      <c r="A171" s="2"/>
      <c r="B171" s="3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>
      <c r="A172" s="2"/>
      <c r="B172" s="3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>
      <c r="A173" s="2"/>
      <c r="B173" s="3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>
      <c r="A174" s="2"/>
      <c r="B174" s="3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>
      <c r="A175" s="2"/>
      <c r="B175" s="3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>
      <c r="A176" s="2"/>
      <c r="B176" s="3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>
      <c r="A177" s="2"/>
      <c r="B177" s="3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>
      <c r="A178" s="2"/>
      <c r="B178" s="3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>
      <c r="A179" s="2"/>
      <c r="B179" s="3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>
      <c r="A180" s="2"/>
      <c r="B180" s="3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>
      <c r="A181" s="2"/>
      <c r="B181" s="3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>
      <c r="A182" s="2"/>
      <c r="B182" s="3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>
      <c r="A183" s="2"/>
      <c r="B183" s="3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>
      <c r="A184" s="2"/>
      <c r="B184" s="3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>
      <c r="A185" s="2"/>
      <c r="B185" s="3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>
      <c r="A186" s="2"/>
      <c r="B186" s="3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>
      <c r="A187" s="2"/>
      <c r="B187" s="3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>
      <c r="A188" s="2"/>
      <c r="B188" s="3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>
      <c r="A189" s="2"/>
      <c r="B189" s="3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>
      <c r="A190" s="2"/>
      <c r="B190" s="3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>
      <c r="A191" s="2"/>
      <c r="B191" s="3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>
      <c r="A192" s="2"/>
      <c r="B192" s="3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>
      <c r="A193" s="2"/>
      <c r="B193" s="3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>
      <c r="A194" s="2"/>
      <c r="B194" s="3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>
      <c r="A195" s="2"/>
      <c r="B195" s="3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>
      <c r="A196" s="2"/>
      <c r="B196" s="3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>
      <c r="A197" s="2"/>
      <c r="B197" s="3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>
      <c r="A198" s="2"/>
      <c r="B198" s="3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>
      <c r="A199" s="2"/>
      <c r="B199" s="3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>
      <c r="A200" s="2"/>
      <c r="B200" s="3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>
      <c r="A201" s="2"/>
      <c r="B201" s="3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>
      <c r="A202" s="2"/>
      <c r="B202" s="3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>
      <c r="A203" s="2"/>
      <c r="B203" s="3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>
      <c r="A204" s="2"/>
      <c r="B204" s="3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>
      <c r="A205" s="2"/>
      <c r="B205" s="3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>
      <c r="A206" s="2"/>
      <c r="B206" s="3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>
      <c r="A207" s="2"/>
      <c r="B207" s="3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>
      <c r="A208" s="2"/>
      <c r="B208" s="3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>
      <c r="A209" s="2"/>
      <c r="B209" s="3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>
      <c r="A210" s="2"/>
      <c r="B210" s="3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>
      <c r="A211" s="2"/>
      <c r="B211" s="3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>
      <c r="A212" s="2"/>
      <c r="B212" s="3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>
      <c r="A213" s="2"/>
      <c r="B213" s="3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>
      <c r="A214" s="2"/>
      <c r="B214" s="3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>
      <c r="A215" s="2"/>
      <c r="B215" s="3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>
      <c r="A216" s="2"/>
      <c r="B216" s="3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>
      <c r="A217" s="2"/>
      <c r="B217" s="3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>
      <c r="A218" s="2"/>
      <c r="B218" s="3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>
      <c r="A219" s="2"/>
      <c r="B219" s="3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>
      <c r="A220" s="2"/>
      <c r="B220" s="3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>
      <c r="A221" s="2"/>
      <c r="B221" s="3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>
      <c r="A222" s="2"/>
      <c r="B222" s="3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>
      <c r="A223" s="2"/>
      <c r="B223" s="3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>
      <c r="A224" s="2"/>
      <c r="B224" s="3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>
      <c r="A225" s="2"/>
      <c r="B225" s="3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>
      <c r="A226" s="2"/>
      <c r="B226" s="3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>
      <c r="A227" s="2"/>
      <c r="B227" s="3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>
      <c r="A228" s="2"/>
      <c r="B228" s="3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>
      <c r="A229" s="2"/>
      <c r="B229" s="3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>
      <c r="A230" s="2"/>
      <c r="B230" s="3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>
      <c r="A231" s="2"/>
      <c r="B231" s="3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>
      <c r="A232" s="2"/>
      <c r="B232" s="3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>
      <c r="A233" s="2"/>
      <c r="B233" s="3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>
      <c r="A234" s="2"/>
      <c r="B234" s="3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>
      <c r="A235" s="2"/>
      <c r="B235" s="3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>
      <c r="A236" s="2"/>
      <c r="B236" s="3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>
      <c r="A237" s="2"/>
      <c r="B237" s="3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>
      <c r="A238" s="2"/>
      <c r="B238" s="3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>
      <c r="A239" s="2"/>
      <c r="B239" s="3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>
      <c r="A240" s="2"/>
      <c r="B240" s="3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>
      <c r="A241" s="2"/>
      <c r="B241" s="3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>
      <c r="A242" s="2"/>
      <c r="B242" s="3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>
      <c r="A243" s="2"/>
      <c r="B243" s="3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>
      <c r="A244" s="2"/>
      <c r="B244" s="3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>
      <c r="A245" s="2"/>
      <c r="B245" s="3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>
      <c r="A246" s="2"/>
      <c r="B246" s="3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>
      <c r="A247" s="2"/>
      <c r="B247" s="3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>
      <c r="A248" s="2"/>
      <c r="B248" s="3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>
      <c r="A249" s="2"/>
      <c r="B249" s="3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>
      <c r="A250" s="2"/>
      <c r="B250" s="3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>
      <c r="A251" s="2"/>
      <c r="B251" s="3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>
      <c r="A252" s="2"/>
      <c r="B252" s="3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>
      <c r="A253" s="2"/>
      <c r="B253" s="3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>
      <c r="A254" s="2"/>
      <c r="B254" s="3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>
      <c r="A255" s="2"/>
      <c r="B255" s="3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>
      <c r="A256" s="2"/>
      <c r="B256" s="3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>
      <c r="A257" s="2"/>
      <c r="B257" s="3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>
      <c r="A258" s="2"/>
      <c r="B258" s="3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>
      <c r="A259" s="2"/>
      <c r="B259" s="3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>
      <c r="A260" s="2"/>
      <c r="B260" s="3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>
      <c r="A261" s="2"/>
      <c r="B261" s="3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>
      <c r="A262" s="2"/>
      <c r="B262" s="3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>
      <c r="A263" s="2"/>
      <c r="B263" s="3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>
      <c r="A264" s="2"/>
      <c r="B264" s="3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>
      <c r="A265" s="2"/>
      <c r="B265" s="3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>
      <c r="A266" s="2"/>
      <c r="B266" s="3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>
      <c r="A267" s="2"/>
      <c r="B267" s="3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>
      <c r="A268" s="2"/>
      <c r="B268" s="3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>
      <c r="A269" s="2"/>
      <c r="B269" s="3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>
      <c r="A270" s="2"/>
      <c r="B270" s="3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>
      <c r="A271" s="2"/>
      <c r="B271" s="3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>
      <c r="A272" s="2"/>
      <c r="B272" s="3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>
      <c r="A273" s="2"/>
      <c r="B273" s="3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>
      <c r="A274" s="2"/>
      <c r="B274" s="3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>
      <c r="A275" s="2"/>
      <c r="B275" s="3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>
      <c r="A276" s="2"/>
      <c r="B276" s="3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>
      <c r="A277" s="2"/>
      <c r="B277" s="3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>
      <c r="A278" s="2"/>
      <c r="B278" s="3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>
      <c r="A279" s="2"/>
      <c r="B279" s="3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>
      <c r="A280" s="2"/>
      <c r="B280" s="3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>
      <c r="A281" s="2"/>
      <c r="B281" s="3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>
      <c r="A282" s="2"/>
      <c r="B282" s="3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>
      <c r="A283" s="2"/>
      <c r="B283" s="3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>
      <c r="A284" s="2"/>
      <c r="B284" s="3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>
      <c r="A285" s="2"/>
      <c r="B285" s="3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>
      <c r="A286" s="2"/>
      <c r="B286" s="3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>
      <c r="A287" s="2"/>
      <c r="B287" s="3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>
      <c r="A288" s="2"/>
      <c r="B288" s="3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>
      <c r="A289" s="2"/>
      <c r="B289" s="3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>
      <c r="A290" s="2"/>
      <c r="B290" s="3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>
      <c r="A291" s="2"/>
      <c r="B291" s="3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>
      <c r="A292" s="2"/>
      <c r="B292" s="3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>
      <c r="A293" s="2"/>
      <c r="B293" s="3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>
      <c r="A294" s="2"/>
      <c r="B294" s="3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>
      <c r="A295" s="2"/>
      <c r="B295" s="3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>
      <c r="A296" s="2"/>
      <c r="B296" s="3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>
      <c r="A297" s="2"/>
      <c r="B297" s="3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>
      <c r="A298" s="2"/>
      <c r="B298" s="3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>
      <c r="A299" s="2"/>
      <c r="B299" s="3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</sheetData>
  <mergeCells count="5">
    <mergeCell ref="A43:B43"/>
    <mergeCell ref="A44:B44"/>
    <mergeCell ref="A1:P1"/>
    <mergeCell ref="A3:P3"/>
    <mergeCell ref="A19:P19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432"/>
  <sheetViews>
    <sheetView topLeftCell="A16" zoomScale="60" zoomScaleNormal="60" workbookViewId="0">
      <selection activeCell="S43" sqref="S43"/>
    </sheetView>
  </sheetViews>
  <sheetFormatPr defaultRowHeight="15"/>
  <cols>
    <col min="1" max="1" width="7.28515625" style="1" customWidth="1"/>
    <col min="2" max="2" width="42.5703125" style="1" customWidth="1"/>
    <col min="3" max="3" width="10" style="1" customWidth="1"/>
    <col min="4" max="4" width="15.28515625" style="1" customWidth="1"/>
    <col min="5" max="5" width="11.7109375" style="1" customWidth="1"/>
    <col min="6" max="7" width="11.5703125" style="1" customWidth="1"/>
    <col min="8" max="8" width="12.42578125" style="1" customWidth="1"/>
    <col min="9" max="9" width="11.5703125" style="1" customWidth="1"/>
    <col min="10" max="10" width="11.7109375" style="1" customWidth="1"/>
    <col min="11" max="11" width="11.42578125" style="1" customWidth="1"/>
    <col min="12" max="12" width="12.42578125" style="1" customWidth="1"/>
    <col min="13" max="13" width="12" style="1" customWidth="1"/>
    <col min="14" max="14" width="11.85546875" style="1" customWidth="1"/>
    <col min="15" max="15" width="12.140625" style="1" customWidth="1"/>
    <col min="16" max="16" width="13.28515625" style="1" customWidth="1"/>
    <col min="17" max="16384" width="9.140625" style="1"/>
  </cols>
  <sheetData>
    <row r="1" spans="1:16" ht="28.5" customHeight="1">
      <c r="A1" s="84" t="s">
        <v>109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ht="29.25" customHeight="1">
      <c r="A2" s="4" t="s">
        <v>0</v>
      </c>
      <c r="B2" s="4" t="s">
        <v>49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</row>
    <row r="3" spans="1:16" ht="29.25" customHeight="1">
      <c r="A3" s="77" t="s">
        <v>48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6" ht="17.25" customHeight="1">
      <c r="A4" s="4" t="s">
        <v>87</v>
      </c>
      <c r="B4" s="5" t="s">
        <v>22</v>
      </c>
      <c r="C4" s="4" t="s">
        <v>16</v>
      </c>
      <c r="D4" s="6">
        <v>0</v>
      </c>
      <c r="E4" s="6">
        <f t="shared" ref="E4:F4" si="0">E5+E6</f>
        <v>0</v>
      </c>
      <c r="F4" s="6">
        <f t="shared" si="0"/>
        <v>0</v>
      </c>
      <c r="G4" s="6">
        <v>0</v>
      </c>
      <c r="H4" s="6">
        <v>0</v>
      </c>
      <c r="I4" s="6">
        <v>204</v>
      </c>
      <c r="J4" s="6">
        <f>301836.21/1000</f>
        <v>301.83620999999999</v>
      </c>
      <c r="K4" s="6">
        <f>345325.51/1000</f>
        <v>345.32551000000001</v>
      </c>
      <c r="L4" s="6">
        <f>331699.06/1000</f>
        <v>331.69905999999997</v>
      </c>
      <c r="M4" s="6">
        <f>342774.96/1000</f>
        <v>342.77496000000002</v>
      </c>
      <c r="N4" s="6">
        <f>358213.3/1000</f>
        <v>358.2133</v>
      </c>
      <c r="O4" s="6">
        <f>334368.93/1000</f>
        <v>334.36892999999998</v>
      </c>
      <c r="P4" s="54">
        <f t="shared" ref="P4:P8" si="1">SUM(D4:O4)</f>
        <v>2218.2179700000002</v>
      </c>
    </row>
    <row r="5" spans="1:16">
      <c r="A5" s="4" t="s">
        <v>36</v>
      </c>
      <c r="B5" s="5" t="s">
        <v>17</v>
      </c>
      <c r="C5" s="4" t="s">
        <v>19</v>
      </c>
      <c r="D5" s="6">
        <v>0</v>
      </c>
      <c r="E5" s="6">
        <v>0</v>
      </c>
      <c r="F5" s="6">
        <v>0</v>
      </c>
      <c r="G5" s="6">
        <v>976</v>
      </c>
      <c r="H5" s="6">
        <v>465</v>
      </c>
      <c r="I5" s="6">
        <v>66931</v>
      </c>
      <c r="J5" s="6">
        <v>71129</v>
      </c>
      <c r="K5" s="6">
        <v>81105</v>
      </c>
      <c r="L5" s="6">
        <v>78185</v>
      </c>
      <c r="M5" s="6">
        <v>81835</v>
      </c>
      <c r="N5" s="6">
        <v>86702</v>
      </c>
      <c r="O5" s="6">
        <v>81186</v>
      </c>
      <c r="P5" s="6">
        <f t="shared" si="1"/>
        <v>548514</v>
      </c>
    </row>
    <row r="6" spans="1:16" ht="16.5" customHeight="1">
      <c r="A6" s="4" t="s">
        <v>37</v>
      </c>
      <c r="B6" s="5" t="s">
        <v>18</v>
      </c>
      <c r="C6" s="4" t="s">
        <v>20</v>
      </c>
      <c r="D6" s="6">
        <v>0</v>
      </c>
      <c r="E6" s="6">
        <v>0</v>
      </c>
      <c r="F6" s="6">
        <v>0</v>
      </c>
      <c r="G6" s="6">
        <f t="shared" ref="G6:O6" si="2">G4/G5*1000</f>
        <v>0</v>
      </c>
      <c r="H6" s="6">
        <f t="shared" si="2"/>
        <v>0</v>
      </c>
      <c r="I6" s="6">
        <f t="shared" si="2"/>
        <v>3.0479150169577625</v>
      </c>
      <c r="J6" s="6">
        <f t="shared" si="2"/>
        <v>4.2435041966005427</v>
      </c>
      <c r="K6" s="6">
        <f t="shared" si="2"/>
        <v>4.2577585845508903</v>
      </c>
      <c r="L6" s="6">
        <f t="shared" si="2"/>
        <v>4.2424897358828417</v>
      </c>
      <c r="M6" s="6">
        <f t="shared" si="2"/>
        <v>4.1886107411254363</v>
      </c>
      <c r="N6" s="6">
        <f t="shared" si="2"/>
        <v>4.1315459850983833</v>
      </c>
      <c r="O6" s="6">
        <f t="shared" si="2"/>
        <v>4.1185540610450078</v>
      </c>
      <c r="P6" s="6">
        <f>(SUM(D6:O6))/9</f>
        <v>3.1367087023623181</v>
      </c>
    </row>
    <row r="7" spans="1:16" ht="18.75">
      <c r="A7" s="4" t="s">
        <v>88</v>
      </c>
      <c r="B7" s="5" t="s">
        <v>21</v>
      </c>
      <c r="C7" s="4" t="s">
        <v>16</v>
      </c>
      <c r="D7" s="6">
        <f>111.59-16.72</f>
        <v>94.87</v>
      </c>
      <c r="E7" s="6">
        <f>45.61+43.22+73.7-11.2</f>
        <v>151.33000000000001</v>
      </c>
      <c r="F7" s="8">
        <v>43.2</v>
      </c>
      <c r="G7" s="8">
        <v>0</v>
      </c>
      <c r="H7" s="6">
        <f t="shared" ref="H7:L7" si="3">H8+H9</f>
        <v>0</v>
      </c>
      <c r="I7" s="6">
        <f t="shared" si="3"/>
        <v>0</v>
      </c>
      <c r="J7" s="6">
        <f t="shared" si="3"/>
        <v>0</v>
      </c>
      <c r="K7" s="6">
        <f t="shared" si="3"/>
        <v>0</v>
      </c>
      <c r="L7" s="6">
        <f t="shared" si="3"/>
        <v>0</v>
      </c>
      <c r="M7" s="6">
        <v>52.98</v>
      </c>
      <c r="N7" s="6">
        <v>85.92</v>
      </c>
      <c r="O7" s="6">
        <f>24.14+119.7</f>
        <v>143.84</v>
      </c>
      <c r="P7" s="54">
        <f t="shared" si="1"/>
        <v>572.1400000000001</v>
      </c>
    </row>
    <row r="8" spans="1:16" ht="15.75" customHeight="1">
      <c r="A8" s="4" t="s">
        <v>89</v>
      </c>
      <c r="B8" s="5" t="s">
        <v>17</v>
      </c>
      <c r="C8" s="4" t="s">
        <v>19</v>
      </c>
      <c r="D8" s="6">
        <v>43</v>
      </c>
      <c r="E8" s="6">
        <f>21.1+20+28.9</f>
        <v>70</v>
      </c>
      <c r="F8" s="8">
        <v>20</v>
      </c>
      <c r="G8" s="8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20.8</v>
      </c>
      <c r="N8" s="6">
        <v>32.799999999999997</v>
      </c>
      <c r="O8" s="6">
        <f>7.7+45.6</f>
        <v>53.300000000000004</v>
      </c>
      <c r="P8" s="6">
        <f t="shared" si="1"/>
        <v>239.90000000000003</v>
      </c>
    </row>
    <row r="9" spans="1:16" ht="16.5" customHeight="1">
      <c r="A9" s="4" t="s">
        <v>90</v>
      </c>
      <c r="B9" s="5" t="s">
        <v>18</v>
      </c>
      <c r="C9" s="4" t="s">
        <v>20</v>
      </c>
      <c r="D9" s="6">
        <f>(D7/D8)*1000</f>
        <v>2206.2790697674418</v>
      </c>
      <c r="E9" s="6">
        <f>(E7/E8)*1000</f>
        <v>2161.8571428571431</v>
      </c>
      <c r="F9" s="6">
        <f>(F7/F8)*1000</f>
        <v>2160</v>
      </c>
      <c r="G9" s="6"/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f>(M7/M8)*1000</f>
        <v>2547.1153846153843</v>
      </c>
      <c r="N9" s="6">
        <f>(N7/N8)*1000</f>
        <v>2619.5121951219512</v>
      </c>
      <c r="O9" s="6">
        <f>(O7/O8)*1000</f>
        <v>2698.6866791744837</v>
      </c>
      <c r="P9" s="6">
        <f>P7/P8*1000</f>
        <v>2384.9103793247186</v>
      </c>
    </row>
    <row r="10" spans="1:16" s="14" customFormat="1" ht="18.75">
      <c r="A10" s="12" t="s">
        <v>91</v>
      </c>
      <c r="B10" s="22" t="s">
        <v>23</v>
      </c>
      <c r="C10" s="12" t="s">
        <v>16</v>
      </c>
      <c r="D10" s="13">
        <v>595.80999999999995</v>
      </c>
      <c r="E10" s="13">
        <v>578.38</v>
      </c>
      <c r="F10" s="13">
        <v>533.82000000000005</v>
      </c>
      <c r="G10" s="13">
        <v>538.99</v>
      </c>
      <c r="H10" s="13">
        <v>644.21</v>
      </c>
      <c r="I10" s="13">
        <v>557.87</v>
      </c>
      <c r="J10" s="13">
        <v>619.73</v>
      </c>
      <c r="K10" s="13">
        <v>547.23</v>
      </c>
      <c r="L10" s="13">
        <v>541.1</v>
      </c>
      <c r="M10" s="13">
        <v>548.47</v>
      </c>
      <c r="N10" s="13">
        <v>555.66999999999996</v>
      </c>
      <c r="O10" s="13">
        <v>578.28</v>
      </c>
      <c r="P10" s="55">
        <f t="shared" ref="P10:P17" si="4">SUM(D10:O10)</f>
        <v>6839.56</v>
      </c>
    </row>
    <row r="11" spans="1:16" ht="24.75" customHeight="1">
      <c r="A11" s="4" t="s">
        <v>38</v>
      </c>
      <c r="B11" s="5" t="s">
        <v>85</v>
      </c>
      <c r="C11" s="4" t="s">
        <v>30</v>
      </c>
      <c r="D11" s="6">
        <f>D10/D12*1000</f>
        <v>14531.951219512195</v>
      </c>
      <c r="E11" s="6">
        <f t="shared" ref="E11:O11" si="5">E10/E12*1000</f>
        <v>14106.829268292684</v>
      </c>
      <c r="F11" s="6">
        <f t="shared" si="5"/>
        <v>13020.000000000002</v>
      </c>
      <c r="G11" s="6">
        <f t="shared" si="5"/>
        <v>13146.09756097561</v>
      </c>
      <c r="H11" s="6">
        <f t="shared" si="5"/>
        <v>15712.439024390244</v>
      </c>
      <c r="I11" s="6">
        <f t="shared" si="5"/>
        <v>13606.58536585366</v>
      </c>
      <c r="J11" s="6">
        <f t="shared" si="5"/>
        <v>15890.512820512822</v>
      </c>
      <c r="K11" s="6">
        <f t="shared" si="5"/>
        <v>13680.75</v>
      </c>
      <c r="L11" s="6">
        <f t="shared" si="5"/>
        <v>13527.5</v>
      </c>
      <c r="M11" s="6">
        <f t="shared" si="5"/>
        <v>13711.75</v>
      </c>
      <c r="N11" s="6">
        <f t="shared" si="5"/>
        <v>13891.749999999998</v>
      </c>
      <c r="O11" s="6">
        <f t="shared" si="5"/>
        <v>14456.999999999998</v>
      </c>
      <c r="P11" s="6">
        <f>(SUM(D11:O11))/12</f>
        <v>14106.930438294768</v>
      </c>
    </row>
    <row r="12" spans="1:16">
      <c r="A12" s="4" t="s">
        <v>39</v>
      </c>
      <c r="B12" s="5" t="s">
        <v>86</v>
      </c>
      <c r="C12" s="4" t="s">
        <v>31</v>
      </c>
      <c r="D12" s="6">
        <v>41</v>
      </c>
      <c r="E12" s="6">
        <v>41</v>
      </c>
      <c r="F12" s="6">
        <v>41</v>
      </c>
      <c r="G12" s="6">
        <v>41</v>
      </c>
      <c r="H12" s="6">
        <v>41</v>
      </c>
      <c r="I12" s="6">
        <v>41</v>
      </c>
      <c r="J12" s="6">
        <v>39</v>
      </c>
      <c r="K12" s="6">
        <v>40</v>
      </c>
      <c r="L12" s="6">
        <v>40</v>
      </c>
      <c r="M12" s="6">
        <v>40</v>
      </c>
      <c r="N12" s="6">
        <v>40</v>
      </c>
      <c r="O12" s="6">
        <v>40</v>
      </c>
      <c r="P12" s="6">
        <f>(SUM(D12:O12))/12</f>
        <v>40.416666666666664</v>
      </c>
    </row>
    <row r="13" spans="1:16" ht="18.75">
      <c r="A13" s="4" t="s">
        <v>92</v>
      </c>
      <c r="B13" s="5" t="s">
        <v>24</v>
      </c>
      <c r="C13" s="4" t="s">
        <v>16</v>
      </c>
      <c r="D13" s="6">
        <v>198.74</v>
      </c>
      <c r="E13" s="6">
        <v>193.51</v>
      </c>
      <c r="F13" s="6">
        <v>180.15</v>
      </c>
      <c r="G13" s="6">
        <v>181.7</v>
      </c>
      <c r="H13" s="6">
        <f t="shared" ref="H13" si="6">H10*0.3</f>
        <v>193.26300000000001</v>
      </c>
      <c r="I13" s="6">
        <v>197.36</v>
      </c>
      <c r="J13" s="6">
        <v>205.92</v>
      </c>
      <c r="K13" s="6">
        <v>184.17</v>
      </c>
      <c r="L13" s="6">
        <v>182.33</v>
      </c>
      <c r="M13" s="6">
        <v>184.54</v>
      </c>
      <c r="N13" s="6">
        <v>186</v>
      </c>
      <c r="O13" s="6">
        <v>194.48</v>
      </c>
      <c r="P13" s="54">
        <f t="shared" si="4"/>
        <v>2282.163</v>
      </c>
    </row>
    <row r="14" spans="1:16" ht="18.75">
      <c r="A14" s="4" t="s">
        <v>93</v>
      </c>
      <c r="B14" s="5" t="s">
        <v>25</v>
      </c>
      <c r="C14" s="4" t="s">
        <v>16</v>
      </c>
      <c r="D14" s="6">
        <v>0</v>
      </c>
      <c r="E14" s="6">
        <v>0</v>
      </c>
      <c r="F14" s="6">
        <v>450</v>
      </c>
      <c r="G14" s="6">
        <v>0</v>
      </c>
      <c r="H14" s="6">
        <v>0</v>
      </c>
      <c r="I14" s="6">
        <v>500</v>
      </c>
      <c r="J14" s="6">
        <v>0</v>
      </c>
      <c r="K14" s="6">
        <v>0</v>
      </c>
      <c r="L14" s="6">
        <v>500</v>
      </c>
      <c r="M14" s="6">
        <v>0</v>
      </c>
      <c r="N14" s="6">
        <v>0</v>
      </c>
      <c r="O14" s="6">
        <v>502</v>
      </c>
      <c r="P14" s="54">
        <f t="shared" si="4"/>
        <v>1952</v>
      </c>
    </row>
    <row r="15" spans="1:16" ht="15.75" customHeight="1">
      <c r="A15" s="4" t="s">
        <v>94</v>
      </c>
      <c r="B15" s="5" t="s">
        <v>35</v>
      </c>
      <c r="C15" s="4" t="s">
        <v>16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f t="shared" si="4"/>
        <v>0</v>
      </c>
    </row>
    <row r="16" spans="1:16" ht="39.75" customHeight="1">
      <c r="A16" s="4" t="s">
        <v>95</v>
      </c>
      <c r="B16" s="5" t="s">
        <v>83</v>
      </c>
      <c r="C16" s="4" t="s">
        <v>16</v>
      </c>
      <c r="D16" s="6">
        <v>421</v>
      </c>
      <c r="E16" s="6">
        <v>756</v>
      </c>
      <c r="F16" s="6">
        <v>1063</v>
      </c>
      <c r="G16" s="6">
        <v>620</v>
      </c>
      <c r="H16" s="6">
        <v>547</v>
      </c>
      <c r="I16" s="6">
        <v>385</v>
      </c>
      <c r="J16" s="6">
        <v>424</v>
      </c>
      <c r="K16" s="6">
        <v>355</v>
      </c>
      <c r="L16" s="6">
        <v>480</v>
      </c>
      <c r="M16" s="6">
        <v>402</v>
      </c>
      <c r="N16" s="6">
        <v>322</v>
      </c>
      <c r="O16" s="6">
        <v>480</v>
      </c>
      <c r="P16" s="54">
        <f t="shared" si="4"/>
        <v>6255</v>
      </c>
    </row>
    <row r="17" spans="1:16">
      <c r="A17" s="4" t="s">
        <v>111</v>
      </c>
      <c r="B17" s="5" t="s">
        <v>129</v>
      </c>
      <c r="C17" s="4" t="s">
        <v>16</v>
      </c>
      <c r="D17" s="6">
        <f>D16*70%</f>
        <v>294.7</v>
      </c>
      <c r="E17" s="6">
        <f t="shared" ref="E17:O17" si="7">E16*70%</f>
        <v>529.19999999999993</v>
      </c>
      <c r="F17" s="6">
        <f t="shared" si="7"/>
        <v>744.09999999999991</v>
      </c>
      <c r="G17" s="6">
        <f t="shared" si="7"/>
        <v>434</v>
      </c>
      <c r="H17" s="6">
        <f t="shared" si="7"/>
        <v>382.9</v>
      </c>
      <c r="I17" s="6">
        <f t="shared" si="7"/>
        <v>269.5</v>
      </c>
      <c r="J17" s="6">
        <f t="shared" si="7"/>
        <v>296.79999999999995</v>
      </c>
      <c r="K17" s="6">
        <f t="shared" si="7"/>
        <v>248.49999999999997</v>
      </c>
      <c r="L17" s="6">
        <f t="shared" si="7"/>
        <v>336</v>
      </c>
      <c r="M17" s="6">
        <f t="shared" si="7"/>
        <v>281.39999999999998</v>
      </c>
      <c r="N17" s="6">
        <f t="shared" si="7"/>
        <v>225.39999999999998</v>
      </c>
      <c r="O17" s="6">
        <f t="shared" si="7"/>
        <v>336</v>
      </c>
      <c r="P17" s="6">
        <f t="shared" si="4"/>
        <v>4378.5</v>
      </c>
    </row>
    <row r="18" spans="1:16" ht="21" customHeight="1">
      <c r="A18" s="4" t="s">
        <v>96</v>
      </c>
      <c r="B18" s="5" t="s">
        <v>14</v>
      </c>
      <c r="C18" s="4" t="s">
        <v>16</v>
      </c>
      <c r="D18" s="10">
        <f>D4+D7+D10+D13+D14+D15+D17+D16</f>
        <v>1605.12</v>
      </c>
      <c r="E18" s="10">
        <f t="shared" ref="E18:O18" si="8">E4+E7+E10+E13+E14+E15+E17+E16</f>
        <v>2208.42</v>
      </c>
      <c r="F18" s="10">
        <f t="shared" si="8"/>
        <v>3014.27</v>
      </c>
      <c r="G18" s="10">
        <f t="shared" si="8"/>
        <v>1774.69</v>
      </c>
      <c r="H18" s="10">
        <f t="shared" si="8"/>
        <v>1767.373</v>
      </c>
      <c r="I18" s="10">
        <f t="shared" si="8"/>
        <v>2113.73</v>
      </c>
      <c r="J18" s="10">
        <f t="shared" si="8"/>
        <v>1848.28621</v>
      </c>
      <c r="K18" s="10">
        <f t="shared" si="8"/>
        <v>1680.22551</v>
      </c>
      <c r="L18" s="10">
        <f t="shared" si="8"/>
        <v>2371.1290600000002</v>
      </c>
      <c r="M18" s="10">
        <f t="shared" si="8"/>
        <v>1812.1649600000001</v>
      </c>
      <c r="N18" s="10">
        <f t="shared" si="8"/>
        <v>1733.2033000000001</v>
      </c>
      <c r="O18" s="10">
        <f t="shared" si="8"/>
        <v>2568.96893</v>
      </c>
      <c r="P18" s="10">
        <f>P4+P7+P10+P13+P14+P16</f>
        <v>20119.080970000003</v>
      </c>
    </row>
    <row r="19" spans="1:16" ht="24.75" customHeight="1">
      <c r="A19" s="77" t="s">
        <v>50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</row>
    <row r="20" spans="1:16" s="16" customFormat="1" ht="18.75">
      <c r="A20" s="4" t="s">
        <v>97</v>
      </c>
      <c r="B20" s="56" t="s">
        <v>137</v>
      </c>
      <c r="C20" s="4" t="s">
        <v>16</v>
      </c>
      <c r="D20" s="24">
        <f>SUM(D21:D29)</f>
        <v>531.19999999999993</v>
      </c>
      <c r="E20" s="24">
        <f t="shared" ref="E20:O20" si="9">SUM(E21:E29)</f>
        <v>547.05000000000007</v>
      </c>
      <c r="F20" s="24">
        <f t="shared" si="9"/>
        <v>535.03</v>
      </c>
      <c r="G20" s="24">
        <f t="shared" si="9"/>
        <v>532.02</v>
      </c>
      <c r="H20" s="24">
        <f t="shared" si="9"/>
        <v>490.48</v>
      </c>
      <c r="I20" s="24">
        <f t="shared" si="9"/>
        <v>459.26</v>
      </c>
      <c r="J20" s="24">
        <f t="shared" si="9"/>
        <v>473.2</v>
      </c>
      <c r="K20" s="24">
        <f t="shared" si="9"/>
        <v>504.58000000000004</v>
      </c>
      <c r="L20" s="24">
        <f t="shared" si="9"/>
        <v>485.10999999999996</v>
      </c>
      <c r="M20" s="24">
        <f t="shared" si="9"/>
        <v>261.33</v>
      </c>
      <c r="N20" s="24">
        <f t="shared" si="9"/>
        <v>496.96000000000004</v>
      </c>
      <c r="O20" s="24">
        <f t="shared" si="9"/>
        <v>547.87</v>
      </c>
      <c r="P20" s="24">
        <f t="shared" ref="P20" si="10">SUM(D20:O20)</f>
        <v>5864.0899999999992</v>
      </c>
    </row>
    <row r="21" spans="1:16">
      <c r="A21" s="4" t="s">
        <v>81</v>
      </c>
      <c r="B21" s="5" t="s">
        <v>53</v>
      </c>
      <c r="C21" s="4" t="s">
        <v>16</v>
      </c>
      <c r="D21" s="6">
        <v>0.3</v>
      </c>
      <c r="E21" s="6">
        <v>0.3</v>
      </c>
      <c r="F21" s="6">
        <v>0.33</v>
      </c>
      <c r="G21" s="6">
        <v>0.28000000000000003</v>
      </c>
      <c r="H21" s="6">
        <v>0.39</v>
      </c>
      <c r="I21" s="6">
        <v>0.59</v>
      </c>
      <c r="J21" s="6">
        <v>0.44</v>
      </c>
      <c r="K21" s="6">
        <v>0.33</v>
      </c>
      <c r="L21" s="6">
        <v>0.38</v>
      </c>
      <c r="M21" s="6">
        <v>0.32</v>
      </c>
      <c r="N21" s="6">
        <v>0.32</v>
      </c>
      <c r="O21" s="6">
        <v>0.33</v>
      </c>
      <c r="P21" s="6">
        <f t="shared" ref="P21:P39" si="11">SUM(D21:O21)</f>
        <v>4.3099999999999996</v>
      </c>
    </row>
    <row r="22" spans="1:16">
      <c r="A22" s="4" t="s">
        <v>98</v>
      </c>
      <c r="B22" s="5" t="s">
        <v>55</v>
      </c>
      <c r="C22" s="4" t="s">
        <v>16</v>
      </c>
      <c r="D22" s="6">
        <v>17.73</v>
      </c>
      <c r="E22" s="6">
        <v>19.86</v>
      </c>
      <c r="F22" s="6">
        <v>13.26</v>
      </c>
      <c r="G22" s="6">
        <v>14.49</v>
      </c>
      <c r="H22" s="6">
        <v>12.46</v>
      </c>
      <c r="I22" s="6">
        <v>13.81</v>
      </c>
      <c r="J22" s="6">
        <v>17.16</v>
      </c>
      <c r="K22" s="6">
        <v>14.69</v>
      </c>
      <c r="L22" s="6">
        <v>12.65</v>
      </c>
      <c r="M22" s="6">
        <v>15.26</v>
      </c>
      <c r="N22" s="6">
        <v>15.75</v>
      </c>
      <c r="O22" s="6">
        <v>15.9</v>
      </c>
      <c r="P22" s="6">
        <f t="shared" si="11"/>
        <v>183.02</v>
      </c>
    </row>
    <row r="23" spans="1:16">
      <c r="A23" s="4" t="s">
        <v>99</v>
      </c>
      <c r="B23" s="5" t="s">
        <v>57</v>
      </c>
      <c r="C23" s="4" t="s">
        <v>16</v>
      </c>
      <c r="D23" s="6">
        <v>18.13</v>
      </c>
      <c r="E23" s="6">
        <v>18.91</v>
      </c>
      <c r="F23" s="6">
        <v>18.239999999999998</v>
      </c>
      <c r="G23" s="6">
        <v>19.43</v>
      </c>
      <c r="H23" s="6">
        <v>18.57</v>
      </c>
      <c r="I23" s="6">
        <v>17.850000000000001</v>
      </c>
      <c r="J23" s="6">
        <v>18.47</v>
      </c>
      <c r="K23" s="6">
        <v>18.14</v>
      </c>
      <c r="L23" s="6">
        <v>19.71</v>
      </c>
      <c r="M23" s="6">
        <v>20.58</v>
      </c>
      <c r="N23" s="6">
        <v>20.38</v>
      </c>
      <c r="O23" s="6">
        <v>20.53</v>
      </c>
      <c r="P23" s="6">
        <f t="shared" si="11"/>
        <v>228.94000000000003</v>
      </c>
    </row>
    <row r="24" spans="1:16">
      <c r="A24" s="4" t="s">
        <v>100</v>
      </c>
      <c r="B24" s="5" t="s">
        <v>59</v>
      </c>
      <c r="C24" s="4" t="s">
        <v>16</v>
      </c>
      <c r="D24" s="6">
        <v>58.07</v>
      </c>
      <c r="E24" s="6">
        <v>60.65</v>
      </c>
      <c r="F24" s="6">
        <v>62.08</v>
      </c>
      <c r="G24" s="6">
        <v>59.2</v>
      </c>
      <c r="H24" s="6">
        <v>51.33</v>
      </c>
      <c r="I24" s="6">
        <v>44.97</v>
      </c>
      <c r="J24" s="6">
        <v>49.07</v>
      </c>
      <c r="K24" s="6">
        <v>47.26</v>
      </c>
      <c r="L24" s="6">
        <v>53.25</v>
      </c>
      <c r="M24" s="6">
        <v>0</v>
      </c>
      <c r="N24" s="6">
        <v>0</v>
      </c>
      <c r="O24" s="6">
        <v>0</v>
      </c>
      <c r="P24" s="6">
        <f t="shared" si="11"/>
        <v>485.87999999999994</v>
      </c>
    </row>
    <row r="25" spans="1:16">
      <c r="A25" s="4" t="s">
        <v>101</v>
      </c>
      <c r="B25" s="5" t="s">
        <v>61</v>
      </c>
      <c r="C25" s="4" t="s">
        <v>16</v>
      </c>
      <c r="D25" s="6">
        <v>269.20999999999998</v>
      </c>
      <c r="E25" s="6">
        <v>266.77</v>
      </c>
      <c r="F25" s="6">
        <v>262.33999999999997</v>
      </c>
      <c r="G25" s="6">
        <v>263.86</v>
      </c>
      <c r="H25" s="6">
        <v>261.81</v>
      </c>
      <c r="I25" s="6">
        <v>181.44</v>
      </c>
      <c r="J25" s="6">
        <v>136.19</v>
      </c>
      <c r="K25" s="6">
        <v>117.56</v>
      </c>
      <c r="L25" s="6">
        <v>98.62</v>
      </c>
      <c r="M25" s="6">
        <v>65.819999999999993</v>
      </c>
      <c r="N25" s="6">
        <v>72.69</v>
      </c>
      <c r="O25" s="6">
        <v>83.41</v>
      </c>
      <c r="P25" s="6">
        <f t="shared" si="11"/>
        <v>2079.7199999999998</v>
      </c>
    </row>
    <row r="26" spans="1:16">
      <c r="A26" s="4" t="s">
        <v>102</v>
      </c>
      <c r="B26" s="5" t="s">
        <v>63</v>
      </c>
      <c r="C26" s="4" t="s">
        <v>16</v>
      </c>
      <c r="D26" s="6">
        <v>153</v>
      </c>
      <c r="E26" s="6">
        <v>166.6</v>
      </c>
      <c r="F26" s="6">
        <v>147.69</v>
      </c>
      <c r="G26" s="6">
        <v>151.71</v>
      </c>
      <c r="H26" s="6">
        <v>124.12</v>
      </c>
      <c r="I26" s="6">
        <v>111.32</v>
      </c>
      <c r="J26" s="6">
        <v>134.32</v>
      </c>
      <c r="K26" s="6">
        <v>159.87</v>
      </c>
      <c r="L26" s="6">
        <v>168.42</v>
      </c>
      <c r="M26" s="6">
        <v>0</v>
      </c>
      <c r="N26" s="6">
        <v>0</v>
      </c>
      <c r="O26" s="6">
        <v>0</v>
      </c>
      <c r="P26" s="6">
        <f t="shared" si="11"/>
        <v>1317.0500000000002</v>
      </c>
    </row>
    <row r="27" spans="1:16">
      <c r="A27" s="4" t="s">
        <v>103</v>
      </c>
      <c r="B27" s="5" t="s">
        <v>65</v>
      </c>
      <c r="C27" s="4" t="s">
        <v>16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72.569999999999993</v>
      </c>
      <c r="J27" s="6">
        <v>98.56</v>
      </c>
      <c r="K27" s="6">
        <v>111.2</v>
      </c>
      <c r="L27" s="6">
        <v>109.31</v>
      </c>
      <c r="M27" s="6">
        <v>139.9</v>
      </c>
      <c r="N27" s="6">
        <v>109.27</v>
      </c>
      <c r="O27" s="6">
        <v>111.84</v>
      </c>
      <c r="P27" s="6">
        <f t="shared" si="11"/>
        <v>752.65</v>
      </c>
    </row>
    <row r="28" spans="1:16">
      <c r="A28" s="4" t="s">
        <v>104</v>
      </c>
      <c r="B28" s="5" t="s">
        <v>67</v>
      </c>
      <c r="C28" s="4" t="s">
        <v>16</v>
      </c>
      <c r="D28" s="6">
        <v>2.96</v>
      </c>
      <c r="E28" s="6">
        <v>2.3199999999999998</v>
      </c>
      <c r="F28" s="6">
        <v>14.06</v>
      </c>
      <c r="G28" s="6">
        <v>9.4</v>
      </c>
      <c r="H28" s="6">
        <v>9.24</v>
      </c>
      <c r="I28" s="6">
        <v>3.8</v>
      </c>
      <c r="J28" s="6">
        <v>4.7</v>
      </c>
      <c r="K28" s="6">
        <v>21.56</v>
      </c>
      <c r="L28" s="6">
        <v>6.84</v>
      </c>
      <c r="M28" s="6">
        <v>6.44</v>
      </c>
      <c r="N28" s="6">
        <v>259.66000000000003</v>
      </c>
      <c r="O28" s="6">
        <v>298.38</v>
      </c>
      <c r="P28" s="6">
        <f t="shared" si="11"/>
        <v>639.36</v>
      </c>
    </row>
    <row r="29" spans="1:16">
      <c r="A29" s="4" t="s">
        <v>106</v>
      </c>
      <c r="B29" s="5" t="s">
        <v>70</v>
      </c>
      <c r="C29" s="4" t="s">
        <v>16</v>
      </c>
      <c r="D29" s="6">
        <v>11.8</v>
      </c>
      <c r="E29" s="6">
        <v>11.64</v>
      </c>
      <c r="F29" s="6">
        <v>17.03</v>
      </c>
      <c r="G29" s="6">
        <v>13.65</v>
      </c>
      <c r="H29" s="6">
        <v>12.56</v>
      </c>
      <c r="I29" s="6">
        <v>12.91</v>
      </c>
      <c r="J29" s="6">
        <v>14.29</v>
      </c>
      <c r="K29" s="6">
        <v>13.97</v>
      </c>
      <c r="L29" s="6">
        <v>15.93</v>
      </c>
      <c r="M29" s="6">
        <v>13.01</v>
      </c>
      <c r="N29" s="6">
        <v>18.89</v>
      </c>
      <c r="O29" s="6">
        <v>17.48</v>
      </c>
      <c r="P29" s="6">
        <f t="shared" si="11"/>
        <v>173.16</v>
      </c>
    </row>
    <row r="30" spans="1:16" ht="30" customHeight="1">
      <c r="A30" s="29" t="s">
        <v>107</v>
      </c>
      <c r="B30" s="28" t="s">
        <v>140</v>
      </c>
      <c r="C30" s="29" t="s">
        <v>16</v>
      </c>
      <c r="D30" s="10">
        <f t="shared" ref="D30:O30" si="12">SUM(D31:D39)</f>
        <v>221.5</v>
      </c>
      <c r="E30" s="10">
        <f t="shared" si="12"/>
        <v>359.93999999999994</v>
      </c>
      <c r="F30" s="10">
        <f t="shared" si="12"/>
        <v>384.15999999999997</v>
      </c>
      <c r="G30" s="10">
        <f t="shared" si="12"/>
        <v>490.65</v>
      </c>
      <c r="H30" s="10">
        <f t="shared" si="12"/>
        <v>441.75999999999993</v>
      </c>
      <c r="I30" s="10">
        <f t="shared" si="12"/>
        <v>275.40999999999997</v>
      </c>
      <c r="J30" s="10">
        <f t="shared" si="12"/>
        <v>466.91999999999996</v>
      </c>
      <c r="K30" s="10">
        <f t="shared" si="12"/>
        <v>316.16000000000003</v>
      </c>
      <c r="L30" s="10">
        <f t="shared" si="12"/>
        <v>449.67</v>
      </c>
      <c r="M30" s="10">
        <f t="shared" si="12"/>
        <v>329.26</v>
      </c>
      <c r="N30" s="10">
        <f t="shared" si="12"/>
        <v>596.45000000000005</v>
      </c>
      <c r="O30" s="10">
        <f t="shared" si="12"/>
        <v>726.24</v>
      </c>
      <c r="P30" s="30">
        <f t="shared" si="11"/>
        <v>5058.12</v>
      </c>
    </row>
    <row r="31" spans="1:16">
      <c r="A31" s="4" t="s">
        <v>112</v>
      </c>
      <c r="B31" s="5" t="s">
        <v>53</v>
      </c>
      <c r="C31" s="4" t="s">
        <v>16</v>
      </c>
      <c r="D31" s="6">
        <v>0.02</v>
      </c>
      <c r="E31" s="6">
        <v>0.33</v>
      </c>
      <c r="F31" s="6">
        <v>0.56000000000000005</v>
      </c>
      <c r="G31" s="6">
        <v>0.4</v>
      </c>
      <c r="H31" s="6">
        <v>0.56000000000000005</v>
      </c>
      <c r="I31" s="6">
        <v>0.64</v>
      </c>
      <c r="J31" s="6">
        <v>0.48</v>
      </c>
      <c r="K31" s="6">
        <v>0.59</v>
      </c>
      <c r="L31" s="6">
        <v>1.4</v>
      </c>
      <c r="M31" s="6">
        <v>0.86</v>
      </c>
      <c r="N31" s="6">
        <v>0.1</v>
      </c>
      <c r="O31" s="6">
        <v>1.51</v>
      </c>
      <c r="P31" s="6">
        <f t="shared" si="11"/>
        <v>7.45</v>
      </c>
    </row>
    <row r="32" spans="1:16">
      <c r="A32" s="4" t="s">
        <v>113</v>
      </c>
      <c r="B32" s="5" t="s">
        <v>55</v>
      </c>
      <c r="C32" s="4" t="s">
        <v>16</v>
      </c>
      <c r="D32" s="6">
        <v>0.1</v>
      </c>
      <c r="E32" s="6">
        <v>5.99</v>
      </c>
      <c r="F32" s="6">
        <v>29.55</v>
      </c>
      <c r="G32" s="6">
        <v>32.93</v>
      </c>
      <c r="H32" s="6">
        <v>18.68</v>
      </c>
      <c r="I32" s="6">
        <v>32.61</v>
      </c>
      <c r="J32" s="6">
        <v>19.690000000000001</v>
      </c>
      <c r="K32" s="6">
        <v>14.39</v>
      </c>
      <c r="L32" s="6">
        <v>30.81</v>
      </c>
      <c r="M32" s="6">
        <v>13.07</v>
      </c>
      <c r="N32" s="6">
        <v>4.57</v>
      </c>
      <c r="O32" s="6">
        <v>99.51</v>
      </c>
      <c r="P32" s="6">
        <f t="shared" si="11"/>
        <v>301.89999999999998</v>
      </c>
    </row>
    <row r="33" spans="1:16">
      <c r="A33" s="4" t="s">
        <v>114</v>
      </c>
      <c r="B33" s="5" t="s">
        <v>57</v>
      </c>
      <c r="C33" s="4" t="s">
        <v>16</v>
      </c>
      <c r="D33" s="6">
        <v>23.06</v>
      </c>
      <c r="E33" s="6">
        <v>5.92</v>
      </c>
      <c r="F33" s="6">
        <v>0.1</v>
      </c>
      <c r="G33" s="6">
        <v>0.06</v>
      </c>
      <c r="H33" s="6">
        <v>5.01</v>
      </c>
      <c r="I33" s="6">
        <v>0.06</v>
      </c>
      <c r="J33" s="6">
        <v>2.87</v>
      </c>
      <c r="K33" s="6">
        <v>62.07</v>
      </c>
      <c r="L33" s="6">
        <v>9.66</v>
      </c>
      <c r="M33" s="6">
        <v>11.03</v>
      </c>
      <c r="N33" s="6">
        <v>30.1</v>
      </c>
      <c r="O33" s="6">
        <v>42.9</v>
      </c>
      <c r="P33" s="6">
        <f t="shared" si="11"/>
        <v>192.84</v>
      </c>
    </row>
    <row r="34" spans="1:16">
      <c r="A34" s="4" t="s">
        <v>115</v>
      </c>
      <c r="B34" s="5" t="s">
        <v>59</v>
      </c>
      <c r="C34" s="4" t="s">
        <v>16</v>
      </c>
      <c r="D34" s="6">
        <v>41.73</v>
      </c>
      <c r="E34" s="6">
        <v>65.3</v>
      </c>
      <c r="F34" s="6">
        <v>0</v>
      </c>
      <c r="G34" s="6">
        <v>119.39</v>
      </c>
      <c r="H34" s="6">
        <v>57.98</v>
      </c>
      <c r="I34" s="6">
        <v>0</v>
      </c>
      <c r="J34" s="6">
        <v>93.41</v>
      </c>
      <c r="K34" s="6">
        <v>47.95</v>
      </c>
      <c r="L34" s="6">
        <v>0</v>
      </c>
      <c r="M34" s="6">
        <v>65.48</v>
      </c>
      <c r="N34" s="6">
        <v>6.87</v>
      </c>
      <c r="O34" s="6">
        <v>0</v>
      </c>
      <c r="P34" s="6">
        <f t="shared" si="11"/>
        <v>498.11000000000007</v>
      </c>
    </row>
    <row r="35" spans="1:16">
      <c r="A35" s="4" t="s">
        <v>116</v>
      </c>
      <c r="B35" s="5" t="s">
        <v>61</v>
      </c>
      <c r="C35" s="4" t="s">
        <v>16</v>
      </c>
      <c r="D35" s="6">
        <v>117.27</v>
      </c>
      <c r="E35" s="6">
        <v>148.32</v>
      </c>
      <c r="F35" s="6">
        <v>212.7</v>
      </c>
      <c r="G35" s="6">
        <v>211.18</v>
      </c>
      <c r="H35" s="6">
        <v>210.45</v>
      </c>
      <c r="I35" s="6">
        <v>113.6</v>
      </c>
      <c r="J35" s="6">
        <v>171.49</v>
      </c>
      <c r="K35" s="6">
        <v>26.67</v>
      </c>
      <c r="L35" s="6">
        <v>6.37</v>
      </c>
      <c r="M35" s="6">
        <v>22.3</v>
      </c>
      <c r="N35" s="6">
        <v>13.63</v>
      </c>
      <c r="O35" s="6">
        <v>110.88</v>
      </c>
      <c r="P35" s="6">
        <f t="shared" si="11"/>
        <v>1364.8600000000001</v>
      </c>
    </row>
    <row r="36" spans="1:16">
      <c r="A36" s="4" t="s">
        <v>117</v>
      </c>
      <c r="B36" s="5" t="s">
        <v>63</v>
      </c>
      <c r="C36" s="4" t="s">
        <v>16</v>
      </c>
      <c r="D36" s="6">
        <v>18.829999999999998</v>
      </c>
      <c r="E36" s="6">
        <v>115.73</v>
      </c>
      <c r="F36" s="6">
        <v>110</v>
      </c>
      <c r="G36" s="6">
        <v>97.33</v>
      </c>
      <c r="H36" s="6">
        <v>103.33</v>
      </c>
      <c r="I36" s="6">
        <v>106.67</v>
      </c>
      <c r="J36" s="6">
        <v>90</v>
      </c>
      <c r="K36" s="6">
        <v>117.39</v>
      </c>
      <c r="L36" s="6">
        <v>259.37</v>
      </c>
      <c r="M36" s="6">
        <v>139.82</v>
      </c>
      <c r="N36" s="6">
        <v>56.35</v>
      </c>
      <c r="O36" s="6">
        <v>0</v>
      </c>
      <c r="P36" s="6">
        <f t="shared" si="11"/>
        <v>1214.82</v>
      </c>
    </row>
    <row r="37" spans="1:16">
      <c r="A37" s="4" t="s">
        <v>118</v>
      </c>
      <c r="B37" s="5" t="s">
        <v>65</v>
      </c>
      <c r="C37" s="4" t="s">
        <v>16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55.33</v>
      </c>
      <c r="K37" s="6">
        <v>0</v>
      </c>
      <c r="L37" s="6">
        <v>100.84</v>
      </c>
      <c r="M37" s="6">
        <v>54.62</v>
      </c>
      <c r="N37" s="6">
        <v>204.05</v>
      </c>
      <c r="O37" s="6">
        <v>140.83000000000001</v>
      </c>
      <c r="P37" s="6">
        <f t="shared" si="11"/>
        <v>555.67000000000007</v>
      </c>
    </row>
    <row r="38" spans="1:16" ht="18" customHeight="1">
      <c r="A38" s="4" t="s">
        <v>119</v>
      </c>
      <c r="B38" s="5" t="s">
        <v>67</v>
      </c>
      <c r="C38" s="4" t="s">
        <v>16</v>
      </c>
      <c r="D38" s="8">
        <v>2.96</v>
      </c>
      <c r="E38" s="8">
        <v>2.3199999999999998</v>
      </c>
      <c r="F38" s="8">
        <v>14.06</v>
      </c>
      <c r="G38" s="8">
        <v>9.4</v>
      </c>
      <c r="H38" s="8">
        <v>9.24</v>
      </c>
      <c r="I38" s="8">
        <v>3.8</v>
      </c>
      <c r="J38" s="8">
        <v>4.7</v>
      </c>
      <c r="K38" s="8">
        <v>21.56</v>
      </c>
      <c r="L38" s="8">
        <v>6.84</v>
      </c>
      <c r="M38" s="8">
        <v>6.44</v>
      </c>
      <c r="N38" s="8">
        <v>259.66000000000003</v>
      </c>
      <c r="O38" s="8">
        <v>298.38</v>
      </c>
      <c r="P38" s="8">
        <f t="shared" si="11"/>
        <v>639.36</v>
      </c>
    </row>
    <row r="39" spans="1:16" ht="15.75" customHeight="1">
      <c r="A39" s="4" t="s">
        <v>121</v>
      </c>
      <c r="B39" s="5" t="s">
        <v>70</v>
      </c>
      <c r="C39" s="4" t="s">
        <v>16</v>
      </c>
      <c r="D39" s="6">
        <v>17.53</v>
      </c>
      <c r="E39" s="6">
        <v>16.03</v>
      </c>
      <c r="F39" s="6">
        <v>17.190000000000001</v>
      </c>
      <c r="G39" s="6">
        <v>19.96</v>
      </c>
      <c r="H39" s="6">
        <v>36.51</v>
      </c>
      <c r="I39" s="6">
        <v>18.03</v>
      </c>
      <c r="J39" s="6">
        <v>28.95</v>
      </c>
      <c r="K39" s="6">
        <v>25.54</v>
      </c>
      <c r="L39" s="6">
        <v>34.380000000000003</v>
      </c>
      <c r="M39" s="6">
        <v>15.64</v>
      </c>
      <c r="N39" s="6">
        <v>21.12</v>
      </c>
      <c r="O39" s="6">
        <v>32.229999999999997</v>
      </c>
      <c r="P39" s="6">
        <f t="shared" si="11"/>
        <v>283.11</v>
      </c>
    </row>
    <row r="40" spans="1:16" ht="30">
      <c r="A40" s="4" t="s">
        <v>122</v>
      </c>
      <c r="B40" s="5" t="s">
        <v>157</v>
      </c>
      <c r="C40" s="4" t="s">
        <v>16</v>
      </c>
      <c r="D40" s="6">
        <f>D30-D20</f>
        <v>-309.69999999999993</v>
      </c>
      <c r="E40" s="6">
        <f t="shared" ref="E40:P40" si="13">E30-E20</f>
        <v>-187.11000000000013</v>
      </c>
      <c r="F40" s="6">
        <f t="shared" si="13"/>
        <v>-150.87</v>
      </c>
      <c r="G40" s="6">
        <f t="shared" si="13"/>
        <v>-41.370000000000005</v>
      </c>
      <c r="H40" s="6">
        <f t="shared" si="13"/>
        <v>-48.720000000000084</v>
      </c>
      <c r="I40" s="6">
        <f t="shared" si="13"/>
        <v>-183.85000000000002</v>
      </c>
      <c r="J40" s="6">
        <f t="shared" si="13"/>
        <v>-6.2800000000000296</v>
      </c>
      <c r="K40" s="6">
        <f t="shared" si="13"/>
        <v>-188.42000000000002</v>
      </c>
      <c r="L40" s="6">
        <f t="shared" si="13"/>
        <v>-35.439999999999941</v>
      </c>
      <c r="M40" s="6">
        <f t="shared" si="13"/>
        <v>67.930000000000007</v>
      </c>
      <c r="N40" s="6">
        <f t="shared" si="13"/>
        <v>99.490000000000009</v>
      </c>
      <c r="O40" s="6">
        <f t="shared" si="13"/>
        <v>178.37</v>
      </c>
      <c r="P40" s="6">
        <f t="shared" si="13"/>
        <v>-805.96999999999935</v>
      </c>
    </row>
    <row r="41" spans="1:16" ht="36" customHeight="1">
      <c r="A41" s="72" t="s">
        <v>155</v>
      </c>
      <c r="B41" s="73"/>
      <c r="C41" s="46" t="s">
        <v>16</v>
      </c>
      <c r="D41" s="47">
        <f>D20-D18</f>
        <v>-1073.92</v>
      </c>
      <c r="E41" s="47">
        <f t="shared" ref="E41:P41" si="14">E20-E18</f>
        <v>-1661.37</v>
      </c>
      <c r="F41" s="47">
        <f t="shared" si="14"/>
        <v>-2479.2399999999998</v>
      </c>
      <c r="G41" s="47">
        <f t="shared" si="14"/>
        <v>-1242.67</v>
      </c>
      <c r="H41" s="47">
        <f t="shared" si="14"/>
        <v>-1276.893</v>
      </c>
      <c r="I41" s="47">
        <f t="shared" si="14"/>
        <v>-1654.47</v>
      </c>
      <c r="J41" s="47">
        <f t="shared" si="14"/>
        <v>-1375.0862099999999</v>
      </c>
      <c r="K41" s="47">
        <f t="shared" si="14"/>
        <v>-1175.6455099999998</v>
      </c>
      <c r="L41" s="47">
        <f t="shared" si="14"/>
        <v>-1886.0190600000003</v>
      </c>
      <c r="M41" s="47">
        <f t="shared" si="14"/>
        <v>-1550.8349600000001</v>
      </c>
      <c r="N41" s="47">
        <f t="shared" si="14"/>
        <v>-1236.2433000000001</v>
      </c>
      <c r="O41" s="47">
        <f t="shared" si="14"/>
        <v>-2021.0989300000001</v>
      </c>
      <c r="P41" s="47">
        <f t="shared" si="14"/>
        <v>-14254.990970000003</v>
      </c>
    </row>
    <row r="42" spans="1:16" ht="31.5" customHeight="1">
      <c r="A42" s="74" t="s">
        <v>156</v>
      </c>
      <c r="B42" s="75"/>
      <c r="C42" s="4" t="s">
        <v>16</v>
      </c>
      <c r="D42" s="6">
        <f>D30-D18</f>
        <v>-1383.62</v>
      </c>
      <c r="E42" s="6">
        <f t="shared" ref="E42:P42" si="15">E30-E18</f>
        <v>-1848.48</v>
      </c>
      <c r="F42" s="6">
        <f t="shared" si="15"/>
        <v>-2630.11</v>
      </c>
      <c r="G42" s="6">
        <f t="shared" si="15"/>
        <v>-1284.04</v>
      </c>
      <c r="H42" s="6">
        <f t="shared" si="15"/>
        <v>-1325.6130000000001</v>
      </c>
      <c r="I42" s="6">
        <f t="shared" si="15"/>
        <v>-1838.3200000000002</v>
      </c>
      <c r="J42" s="6">
        <f t="shared" si="15"/>
        <v>-1381.3662100000001</v>
      </c>
      <c r="K42" s="6">
        <f t="shared" si="15"/>
        <v>-1364.0655099999999</v>
      </c>
      <c r="L42" s="6">
        <f t="shared" si="15"/>
        <v>-1921.4590600000001</v>
      </c>
      <c r="M42" s="6">
        <f t="shared" si="15"/>
        <v>-1482.9049600000001</v>
      </c>
      <c r="N42" s="6">
        <f t="shared" si="15"/>
        <v>-1136.7533000000001</v>
      </c>
      <c r="O42" s="6">
        <f t="shared" si="15"/>
        <v>-1842.72893</v>
      </c>
      <c r="P42" s="6">
        <f t="shared" si="15"/>
        <v>-15060.960970000004</v>
      </c>
    </row>
    <row r="43" spans="1:16">
      <c r="A43" s="2"/>
      <c r="B43" s="3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>
      <c r="A44" s="2"/>
      <c r="B44" s="3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>
      <c r="A45" s="2"/>
      <c r="B45" s="3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>
      <c r="A46" s="2"/>
      <c r="B46" s="3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>
      <c r="A47" s="2"/>
      <c r="B47" s="3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>
      <c r="A48" s="2"/>
      <c r="B48" s="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>
      <c r="A49" s="2"/>
      <c r="B49" s="3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>
      <c r="A50" s="2"/>
      <c r="B50" s="3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>
      <c r="A51" s="2"/>
      <c r="B51" s="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>
      <c r="A52" s="2"/>
      <c r="B52" s="3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>
      <c r="A53" s="2"/>
      <c r="B53" s="3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>
      <c r="A54" s="2"/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>
      <c r="A55" s="2"/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>
      <c r="A56" s="2"/>
      <c r="B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>
      <c r="A57" s="2"/>
      <c r="B57" s="3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>
      <c r="A58" s="2"/>
      <c r="B58" s="3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>
      <c r="A59" s="2"/>
      <c r="B59" s="3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>
      <c r="A60" s="2"/>
      <c r="B60" s="3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>
      <c r="A61" s="2"/>
      <c r="B61" s="3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>
      <c r="A62" s="2"/>
      <c r="B62" s="3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>
      <c r="A63" s="2"/>
      <c r="B63" s="3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>
      <c r="A64" s="2"/>
      <c r="B64" s="3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>
      <c r="A65" s="2"/>
      <c r="B65" s="3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>
      <c r="A66" s="2"/>
      <c r="B66" s="3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>
      <c r="A67" s="2"/>
      <c r="B67" s="3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>
      <c r="A68" s="2"/>
      <c r="B68" s="3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>
      <c r="A69" s="2"/>
      <c r="B69" s="3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>
      <c r="A70" s="2"/>
      <c r="B70" s="3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>
      <c r="A71" s="2"/>
      <c r="B71" s="3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>
      <c r="A72" s="2"/>
      <c r="B72" s="3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>
      <c r="A73" s="2"/>
      <c r="B73" s="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>
      <c r="A74" s="2"/>
      <c r="B74" s="3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>
      <c r="A75" s="2"/>
      <c r="B75" s="3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>
      <c r="A76" s="2"/>
      <c r="B76" s="3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>
      <c r="A77" s="2"/>
      <c r="B77" s="3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>
      <c r="A78" s="2"/>
      <c r="B78" s="3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>
      <c r="A79" s="2"/>
      <c r="B79" s="3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>
      <c r="A81" s="2"/>
      <c r="B81" s="3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>
      <c r="A82" s="2"/>
      <c r="B82" s="3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>
      <c r="A83" s="2"/>
      <c r="B83" s="3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>
      <c r="A84" s="2"/>
      <c r="B84" s="3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>
      <c r="A85" s="2"/>
      <c r="B85" s="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>
      <c r="A86" s="2"/>
      <c r="B86" s="3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>
      <c r="A87" s="2"/>
      <c r="B87" s="3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>
      <c r="A88" s="2"/>
      <c r="B88" s="3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>
      <c r="A89" s="2"/>
      <c r="B89" s="3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>
      <c r="A90" s="2"/>
      <c r="B90" s="3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>
      <c r="A91" s="2"/>
      <c r="B91" s="3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>
      <c r="A92" s="2"/>
      <c r="B92" s="3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>
      <c r="A93" s="2"/>
      <c r="B93" s="3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>
      <c r="A94" s="2"/>
      <c r="B94" s="3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>
      <c r="A95" s="2"/>
      <c r="B95" s="3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>
      <c r="A96" s="2"/>
      <c r="B96" s="3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>
      <c r="A97" s="2"/>
      <c r="B97" s="3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>
      <c r="A98" s="2"/>
      <c r="B98" s="3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>
      <c r="A99" s="2"/>
      <c r="B99" s="3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>
      <c r="A100" s="2"/>
      <c r="B100" s="3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>
      <c r="A101" s="2"/>
      <c r="B101" s="3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>
      <c r="A102" s="2"/>
      <c r="B102" s="3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>
      <c r="A103" s="2"/>
      <c r="B103" s="3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>
      <c r="A104" s="2"/>
      <c r="B104" s="3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>
      <c r="A105" s="2"/>
      <c r="B105" s="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>
      <c r="A106" s="2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>
      <c r="A107" s="2"/>
      <c r="B107" s="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>
      <c r="A108" s="2"/>
      <c r="B108" s="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>
      <c r="A109" s="2"/>
      <c r="B109" s="3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>
      <c r="A110" s="2"/>
      <c r="B110" s="3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>
      <c r="A111" s="2"/>
      <c r="B111" s="3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>
      <c r="A112" s="2"/>
      <c r="B112" s="3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>
      <c r="A113" s="2"/>
      <c r="B113" s="3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>
      <c r="A114" s="2"/>
      <c r="B114" s="3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>
      <c r="A115" s="2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>
      <c r="A116" s="2"/>
      <c r="B116" s="3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>
      <c r="A117" s="2"/>
      <c r="B117" s="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>
      <c r="A118" s="2"/>
      <c r="B118" s="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>
      <c r="A119" s="2"/>
      <c r="B119" s="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>
      <c r="A120" s="2"/>
      <c r="B120" s="3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>
      <c r="A121" s="2"/>
      <c r="B121" s="3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>
      <c r="A122" s="2"/>
      <c r="B122" s="3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>
      <c r="A123" s="2"/>
      <c r="B123" s="3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>
      <c r="A124" s="2"/>
      <c r="B124" s="3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>
      <c r="A125" s="2"/>
      <c r="B125" s="3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>
      <c r="A126" s="2"/>
      <c r="B126" s="3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>
      <c r="A127" s="2"/>
      <c r="B127" s="3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>
      <c r="A128" s="2"/>
      <c r="B128" s="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>
      <c r="A129" s="2"/>
      <c r="B129" s="3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>
      <c r="A130" s="2"/>
      <c r="B130" s="3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>
      <c r="A131" s="2"/>
      <c r="B131" s="3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>
      <c r="A132" s="2"/>
      <c r="B132" s="3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>
      <c r="A133" s="2"/>
      <c r="B133" s="3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>
      <c r="A134" s="2"/>
      <c r="B134" s="3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>
      <c r="A135" s="2"/>
      <c r="B135" s="3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>
      <c r="A136" s="2"/>
      <c r="B136" s="3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>
      <c r="A137" s="2"/>
      <c r="B137" s="3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>
      <c r="A138" s="2"/>
      <c r="B138" s="3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>
      <c r="A139" s="2"/>
      <c r="B139" s="3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>
      <c r="A140" s="2"/>
      <c r="B140" s="3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>
      <c r="A141" s="2"/>
      <c r="B141" s="3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>
      <c r="A142" s="2"/>
      <c r="B142" s="3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>
      <c r="A143" s="2"/>
      <c r="B143" s="3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>
      <c r="A144" s="2"/>
      <c r="B144" s="3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>
      <c r="A145" s="2"/>
      <c r="B145" s="3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>
      <c r="A146" s="2"/>
      <c r="B146" s="3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>
      <c r="A147" s="2"/>
      <c r="B147" s="3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>
      <c r="A148" s="2"/>
      <c r="B148" s="3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>
      <c r="A149" s="2"/>
      <c r="B149" s="3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>
      <c r="A150" s="2"/>
      <c r="B150" s="3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>
      <c r="A151" s="2"/>
      <c r="B151" s="3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>
      <c r="A152" s="2"/>
      <c r="B152" s="3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>
      <c r="A153" s="2"/>
      <c r="B153" s="3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>
      <c r="A154" s="2"/>
      <c r="B154" s="3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>
      <c r="A155" s="2"/>
      <c r="B155" s="3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>
      <c r="A156" s="2"/>
      <c r="B156" s="3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>
      <c r="A157" s="2"/>
      <c r="B157" s="3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>
      <c r="A158" s="2"/>
      <c r="B158" s="3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>
      <c r="A159" s="2"/>
      <c r="B159" s="3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>
      <c r="A160" s="2"/>
      <c r="B160" s="3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>
      <c r="A161" s="2"/>
      <c r="B161" s="3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>
      <c r="A162" s="2"/>
      <c r="B162" s="3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>
      <c r="A163" s="2"/>
      <c r="B163" s="3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>
      <c r="A164" s="2"/>
      <c r="B164" s="3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>
      <c r="A165" s="2"/>
      <c r="B165" s="3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>
      <c r="A166" s="2"/>
      <c r="B166" s="3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>
      <c r="A167" s="2"/>
      <c r="B167" s="3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>
      <c r="A168" s="2"/>
      <c r="B168" s="3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>
      <c r="A169" s="2"/>
      <c r="B169" s="3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>
      <c r="A170" s="2"/>
      <c r="B170" s="3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>
      <c r="A171" s="2"/>
      <c r="B171" s="3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>
      <c r="A172" s="2"/>
      <c r="B172" s="3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>
      <c r="A173" s="2"/>
      <c r="B173" s="3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>
      <c r="A174" s="2"/>
      <c r="B174" s="3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>
      <c r="A175" s="2"/>
      <c r="B175" s="3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>
      <c r="A176" s="2"/>
      <c r="B176" s="3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>
      <c r="A177" s="2"/>
      <c r="B177" s="3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>
      <c r="A178" s="2"/>
      <c r="B178" s="3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>
      <c r="A179" s="2"/>
      <c r="B179" s="3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>
      <c r="A180" s="2"/>
      <c r="B180" s="3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>
      <c r="A181" s="2"/>
      <c r="B181" s="3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>
      <c r="A182" s="2"/>
      <c r="B182" s="3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>
      <c r="A183" s="2"/>
      <c r="B183" s="3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>
      <c r="A184" s="2"/>
      <c r="B184" s="3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>
      <c r="A185" s="2"/>
      <c r="B185" s="3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>
      <c r="A186" s="2"/>
      <c r="B186" s="3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>
      <c r="A187" s="2"/>
      <c r="B187" s="3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>
      <c r="A188" s="2"/>
      <c r="B188" s="3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>
      <c r="A189" s="2"/>
      <c r="B189" s="3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>
      <c r="A190" s="2"/>
      <c r="B190" s="3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>
      <c r="A191" s="2"/>
      <c r="B191" s="3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>
      <c r="A192" s="2"/>
      <c r="B192" s="3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>
      <c r="A193" s="2"/>
      <c r="B193" s="3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>
      <c r="A194" s="2"/>
      <c r="B194" s="3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>
      <c r="A195" s="2"/>
      <c r="B195" s="3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>
      <c r="A196" s="2"/>
      <c r="B196" s="3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>
      <c r="A197" s="2"/>
      <c r="B197" s="3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>
      <c r="A198" s="2"/>
      <c r="B198" s="3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>
      <c r="A199" s="2"/>
      <c r="B199" s="3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>
      <c r="A200" s="2"/>
      <c r="B200" s="3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>
      <c r="A201" s="2"/>
      <c r="B201" s="3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>
      <c r="A202" s="2"/>
      <c r="B202" s="3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>
      <c r="A203" s="2"/>
      <c r="B203" s="3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>
      <c r="A204" s="2"/>
      <c r="B204" s="3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>
      <c r="A205" s="2"/>
      <c r="B205" s="3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>
      <c r="A206" s="2"/>
      <c r="B206" s="3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>
      <c r="A207" s="2"/>
      <c r="B207" s="3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>
      <c r="A208" s="2"/>
      <c r="B208" s="3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>
      <c r="A209" s="2"/>
      <c r="B209" s="3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>
      <c r="A210" s="2"/>
      <c r="B210" s="3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>
      <c r="A211" s="2"/>
      <c r="B211" s="3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>
      <c r="A212" s="2"/>
      <c r="B212" s="3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>
      <c r="A213" s="2"/>
      <c r="B213" s="3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>
      <c r="A214" s="2"/>
      <c r="B214" s="3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>
      <c r="A215" s="2"/>
      <c r="B215" s="3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>
      <c r="A216" s="2"/>
      <c r="B216" s="3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>
      <c r="A217" s="2"/>
      <c r="B217" s="3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>
      <c r="A218" s="2"/>
      <c r="B218" s="3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>
      <c r="A219" s="2"/>
      <c r="B219" s="3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>
      <c r="A220" s="2"/>
      <c r="B220" s="3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>
      <c r="A221" s="2"/>
      <c r="B221" s="3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>
      <c r="A222" s="2"/>
      <c r="B222" s="3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>
      <c r="A223" s="2"/>
      <c r="B223" s="3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>
      <c r="A224" s="2"/>
      <c r="B224" s="3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>
      <c r="A225" s="2"/>
      <c r="B225" s="3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>
      <c r="A226" s="2"/>
      <c r="B226" s="3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>
      <c r="A227" s="2"/>
      <c r="B227" s="3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>
      <c r="A228" s="2"/>
      <c r="B228" s="3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>
      <c r="A229" s="2"/>
      <c r="B229" s="3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>
      <c r="A230" s="2"/>
      <c r="B230" s="3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>
      <c r="A231" s="2"/>
      <c r="B231" s="3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>
      <c r="A232" s="2"/>
      <c r="B232" s="3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>
      <c r="A233" s="2"/>
      <c r="B233" s="3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>
      <c r="A234" s="2"/>
      <c r="B234" s="3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>
      <c r="A235" s="2"/>
      <c r="B235" s="3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>
      <c r="A236" s="2"/>
      <c r="B236" s="3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>
      <c r="A237" s="2"/>
      <c r="B237" s="3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>
      <c r="A238" s="2"/>
      <c r="B238" s="3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>
      <c r="A239" s="2"/>
      <c r="B239" s="3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>
      <c r="A240" s="2"/>
      <c r="B240" s="3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>
      <c r="A241" s="2"/>
      <c r="B241" s="3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>
      <c r="A242" s="2"/>
      <c r="B242" s="3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>
      <c r="A243" s="2"/>
      <c r="B243" s="3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>
      <c r="A244" s="2"/>
      <c r="B244" s="3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>
      <c r="A245" s="2"/>
      <c r="B245" s="3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>
      <c r="A246" s="2"/>
      <c r="B246" s="3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>
      <c r="A247" s="2"/>
      <c r="B247" s="3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>
      <c r="A248" s="2"/>
      <c r="B248" s="3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>
      <c r="A249" s="2"/>
      <c r="B249" s="3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>
      <c r="A250" s="2"/>
      <c r="B250" s="3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>
      <c r="A251" s="2"/>
      <c r="B251" s="3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>
      <c r="A252" s="2"/>
      <c r="B252" s="3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>
      <c r="A253" s="2"/>
      <c r="B253" s="3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>
      <c r="A254" s="2"/>
      <c r="B254" s="3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>
      <c r="A255" s="2"/>
      <c r="B255" s="3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>
      <c r="A256" s="2"/>
      <c r="B256" s="3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>
      <c r="A257" s="2"/>
      <c r="B257" s="3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>
      <c r="A258" s="2"/>
      <c r="B258" s="3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>
      <c r="A259" s="2"/>
      <c r="B259" s="3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>
      <c r="A260" s="2"/>
      <c r="B260" s="3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>
      <c r="A261" s="2"/>
      <c r="B261" s="3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>
      <c r="A262" s="2"/>
      <c r="B262" s="3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>
      <c r="A263" s="2"/>
      <c r="B263" s="3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>
      <c r="A264" s="2"/>
      <c r="B264" s="3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>
      <c r="A265" s="2"/>
      <c r="B265" s="3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>
      <c r="A266" s="2"/>
      <c r="B266" s="3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>
      <c r="A267" s="2"/>
      <c r="B267" s="3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>
      <c r="A268" s="2"/>
      <c r="B268" s="3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>
      <c r="A269" s="2"/>
      <c r="B269" s="3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>
      <c r="A270" s="2"/>
      <c r="B270" s="3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>
      <c r="A271" s="2"/>
      <c r="B271" s="3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>
      <c r="A272" s="2"/>
      <c r="B272" s="3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>
      <c r="A273" s="2"/>
      <c r="B273" s="3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>
      <c r="A274" s="2"/>
      <c r="B274" s="3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>
      <c r="A275" s="2"/>
      <c r="B275" s="3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>
      <c r="A276" s="2"/>
      <c r="B276" s="3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>
      <c r="A277" s="2"/>
      <c r="B277" s="3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>
      <c r="A278" s="2"/>
      <c r="B278" s="3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>
      <c r="A279" s="2"/>
      <c r="B279" s="3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>
      <c r="A280" s="2"/>
      <c r="B280" s="3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>
      <c r="A281" s="2"/>
      <c r="B281" s="3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>
      <c r="A282" s="2"/>
      <c r="B282" s="3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>
      <c r="A283" s="2"/>
      <c r="B283" s="3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>
      <c r="A284" s="2"/>
      <c r="B284" s="3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>
      <c r="A285" s="2"/>
      <c r="B285" s="3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>
      <c r="A286" s="2"/>
      <c r="B286" s="3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>
      <c r="A287" s="2"/>
      <c r="B287" s="3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>
      <c r="A288" s="2"/>
      <c r="B288" s="3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>
      <c r="A289" s="2"/>
      <c r="B289" s="3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>
      <c r="A290" s="2"/>
      <c r="B290" s="3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>
      <c r="A291" s="2"/>
      <c r="B291" s="3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>
      <c r="A292" s="2"/>
      <c r="B292" s="3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>
      <c r="A293" s="2"/>
      <c r="B293" s="3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>
      <c r="A294" s="2"/>
      <c r="B294" s="3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>
      <c r="A295" s="2"/>
      <c r="B295" s="3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>
      <c r="A296" s="2"/>
      <c r="B296" s="3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>
      <c r="A297" s="2"/>
      <c r="B297" s="3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</sheetData>
  <mergeCells count="5">
    <mergeCell ref="A41:B41"/>
    <mergeCell ref="A42:B42"/>
    <mergeCell ref="A1:P1"/>
    <mergeCell ref="A3:P3"/>
    <mergeCell ref="A19:P19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435"/>
  <sheetViews>
    <sheetView zoomScale="60" zoomScaleNormal="60" workbookViewId="0">
      <selection activeCell="D25" sqref="D25"/>
    </sheetView>
  </sheetViews>
  <sheetFormatPr defaultRowHeight="15"/>
  <cols>
    <col min="1" max="1" width="7.28515625" style="1" customWidth="1"/>
    <col min="2" max="2" width="42.5703125" style="1" customWidth="1"/>
    <col min="3" max="3" width="10" style="1" customWidth="1"/>
    <col min="4" max="4" width="11.85546875" style="1" customWidth="1"/>
    <col min="5" max="5" width="12.28515625" style="1" customWidth="1"/>
    <col min="6" max="6" width="12.42578125" style="1" customWidth="1"/>
    <col min="7" max="7" width="11.85546875" style="1" customWidth="1"/>
    <col min="8" max="8" width="12.28515625" style="1" customWidth="1"/>
    <col min="9" max="9" width="12" style="1" customWidth="1"/>
    <col min="10" max="10" width="11.7109375" style="1" customWidth="1"/>
    <col min="11" max="11" width="11.85546875" style="1" customWidth="1"/>
    <col min="12" max="12" width="12" style="1" customWidth="1"/>
    <col min="13" max="13" width="11.7109375" style="1" customWidth="1"/>
    <col min="14" max="14" width="13.28515625" style="1" customWidth="1"/>
    <col min="15" max="15" width="12.85546875" style="1" customWidth="1"/>
    <col min="16" max="16" width="14.28515625" style="1" customWidth="1"/>
    <col min="17" max="16384" width="9.140625" style="1"/>
  </cols>
  <sheetData>
    <row r="1" spans="1:16" ht="29.25" customHeight="1">
      <c r="A1" s="84" t="s">
        <v>110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ht="29.25" customHeight="1">
      <c r="A2" s="4" t="s">
        <v>0</v>
      </c>
      <c r="B2" s="4" t="s">
        <v>49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</row>
    <row r="3" spans="1:16" ht="23.25" customHeight="1">
      <c r="A3" s="77" t="s">
        <v>48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6" ht="18.75" customHeight="1">
      <c r="A4" s="4" t="s">
        <v>87</v>
      </c>
      <c r="B4" s="5" t="s">
        <v>22</v>
      </c>
      <c r="C4" s="4" t="s">
        <v>16</v>
      </c>
      <c r="D4" s="6">
        <f>(352428.89)/1000</f>
        <v>352.42889000000002</v>
      </c>
      <c r="E4" s="6">
        <f>(403884.62)/1000</f>
        <v>403.88461999999998</v>
      </c>
      <c r="F4" s="6">
        <f>(349243.81)/1000</f>
        <v>349.24381</v>
      </c>
      <c r="G4" s="6">
        <f>(292671.46)/1000</f>
        <v>292.67146000000002</v>
      </c>
      <c r="H4" s="6">
        <f>(261785.21)/1000</f>
        <v>261.78521000000001</v>
      </c>
      <c r="I4" s="6">
        <f>(307610.3)/1000</f>
        <v>307.6103</v>
      </c>
      <c r="J4" s="6">
        <f>(315298.42)/1000</f>
        <v>315.29841999999996</v>
      </c>
      <c r="K4" s="6">
        <f>(389682.9)/1000</f>
        <v>389.68290000000002</v>
      </c>
      <c r="L4" s="6">
        <f>(330261.55+2959.4)/1000</f>
        <v>333.22095000000002</v>
      </c>
      <c r="M4" s="6">
        <v>315.29000000000002</v>
      </c>
      <c r="N4" s="6">
        <v>390.49</v>
      </c>
      <c r="O4" s="6">
        <v>419.89</v>
      </c>
      <c r="P4" s="54">
        <f t="shared" ref="P4:P8" si="0">SUM(D4:O4)</f>
        <v>4131.4965599999996</v>
      </c>
    </row>
    <row r="5" spans="1:16">
      <c r="A5" s="4" t="s">
        <v>36</v>
      </c>
      <c r="B5" s="5" t="s">
        <v>17</v>
      </c>
      <c r="C5" s="4" t="s">
        <v>19</v>
      </c>
      <c r="D5" s="6">
        <v>83944</v>
      </c>
      <c r="E5" s="6">
        <v>91081</v>
      </c>
      <c r="F5" s="6">
        <v>79240</v>
      </c>
      <c r="G5" s="6">
        <v>80700</v>
      </c>
      <c r="H5" s="6">
        <v>70967</v>
      </c>
      <c r="I5" s="6">
        <v>83538</v>
      </c>
      <c r="J5" s="6">
        <v>81024</v>
      </c>
      <c r="K5" s="6">
        <v>98219</v>
      </c>
      <c r="L5" s="6">
        <f>84106+750</f>
        <v>84856</v>
      </c>
      <c r="M5" s="6">
        <f>86134+360</f>
        <v>86494</v>
      </c>
      <c r="N5" s="6">
        <f>107221+370</f>
        <v>107591</v>
      </c>
      <c r="O5" s="6">
        <f>106329+380</f>
        <v>106709</v>
      </c>
      <c r="P5" s="6">
        <f t="shared" si="0"/>
        <v>1054363</v>
      </c>
    </row>
    <row r="6" spans="1:16" ht="16.5" customHeight="1">
      <c r="A6" s="4" t="s">
        <v>37</v>
      </c>
      <c r="B6" s="5" t="s">
        <v>18</v>
      </c>
      <c r="C6" s="4" t="s">
        <v>20</v>
      </c>
      <c r="D6" s="6">
        <f>D4/D5*1000</f>
        <v>4.1983809444391502</v>
      </c>
      <c r="E6" s="6">
        <f t="shared" ref="E6:O6" si="1">E4/E5*1000</f>
        <v>4.4343454727111027</v>
      </c>
      <c r="F6" s="6">
        <f t="shared" si="1"/>
        <v>4.4074180969207468</v>
      </c>
      <c r="G6" s="6">
        <f t="shared" si="1"/>
        <v>3.6266599752168531</v>
      </c>
      <c r="H6" s="6">
        <f t="shared" si="1"/>
        <v>3.6888301604971327</v>
      </c>
      <c r="I6" s="6">
        <f t="shared" si="1"/>
        <v>3.6822799205152146</v>
      </c>
      <c r="J6" s="6">
        <f t="shared" si="1"/>
        <v>3.8914200730647703</v>
      </c>
      <c r="K6" s="6">
        <f t="shared" si="1"/>
        <v>3.9674899968437884</v>
      </c>
      <c r="L6" s="6">
        <f t="shared" si="1"/>
        <v>3.9268990996511737</v>
      </c>
      <c r="M6" s="6">
        <f t="shared" si="1"/>
        <v>3.6452239461696769</v>
      </c>
      <c r="N6" s="6">
        <f t="shared" si="1"/>
        <v>3.6293927930774883</v>
      </c>
      <c r="O6" s="6">
        <f t="shared" si="1"/>
        <v>3.9349070837511357</v>
      </c>
      <c r="P6" s="6">
        <f>P4/P5*1000</f>
        <v>3.9184764260506104</v>
      </c>
    </row>
    <row r="7" spans="1:16" ht="24" customHeight="1">
      <c r="A7" s="4" t="s">
        <v>88</v>
      </c>
      <c r="B7" s="5" t="s">
        <v>21</v>
      </c>
      <c r="C7" s="4" t="s">
        <v>16</v>
      </c>
      <c r="D7" s="6">
        <f>(157071.67+3.65)/1000</f>
        <v>157.07532</v>
      </c>
      <c r="E7" s="6">
        <f>(59632.48-0.35)/1000</f>
        <v>59.632130000000004</v>
      </c>
      <c r="F7" s="6">
        <f>(75922.62-1.93)/1000</f>
        <v>75.920690000000008</v>
      </c>
      <c r="G7" s="6">
        <f>(107637.05-1013.5)/1000</f>
        <v>106.62355000000001</v>
      </c>
      <c r="H7" s="6">
        <f>(51384.84)/1000</f>
        <v>51.384839999999997</v>
      </c>
      <c r="I7" s="6">
        <v>0</v>
      </c>
      <c r="J7" s="6">
        <v>0</v>
      </c>
      <c r="K7" s="6">
        <v>0</v>
      </c>
      <c r="L7" s="6">
        <f>(17240.23+40637.67)/1000</f>
        <v>57.877899999999997</v>
      </c>
      <c r="M7" s="6">
        <f>(49189.68+68.11)/1000</f>
        <v>49.25779</v>
      </c>
      <c r="N7" s="6">
        <f>(36297.58-172.03)/1000</f>
        <v>36.125550000000004</v>
      </c>
      <c r="O7" s="6">
        <f>(60992.81-1240.37)/1000</f>
        <v>59.752439999999993</v>
      </c>
      <c r="P7" s="54">
        <f t="shared" si="0"/>
        <v>653.65021000000002</v>
      </c>
    </row>
    <row r="8" spans="1:16" ht="15.75" customHeight="1">
      <c r="A8" s="4" t="s">
        <v>89</v>
      </c>
      <c r="B8" s="5" t="s">
        <v>17</v>
      </c>
      <c r="C8" s="4" t="s">
        <v>19</v>
      </c>
      <c r="D8" s="6">
        <f>59.8</f>
        <v>59.8</v>
      </c>
      <c r="E8" s="6">
        <f>22.7</f>
        <v>22.7</v>
      </c>
      <c r="F8" s="6">
        <f>28.9</f>
        <v>28.9</v>
      </c>
      <c r="G8" s="6">
        <f>41.5</f>
        <v>41.5</v>
      </c>
      <c r="H8" s="6">
        <v>20</v>
      </c>
      <c r="I8" s="6">
        <v>0</v>
      </c>
      <c r="J8" s="6">
        <v>0</v>
      </c>
      <c r="K8" s="6">
        <v>0</v>
      </c>
      <c r="L8" s="6">
        <f>7+16.5</f>
        <v>23.5</v>
      </c>
      <c r="M8" s="6">
        <v>20</v>
      </c>
      <c r="N8" s="6">
        <v>15</v>
      </c>
      <c r="O8" s="6">
        <v>25</v>
      </c>
      <c r="P8" s="6">
        <f t="shared" si="0"/>
        <v>256.39999999999998</v>
      </c>
    </row>
    <row r="9" spans="1:16" ht="16.5" customHeight="1">
      <c r="A9" s="4" t="s">
        <v>90</v>
      </c>
      <c r="B9" s="5" t="s">
        <v>18</v>
      </c>
      <c r="C9" s="4" t="s">
        <v>20</v>
      </c>
      <c r="D9" s="6">
        <f>D7/D8*1000</f>
        <v>2626.6775919732445</v>
      </c>
      <c r="E9" s="6">
        <f t="shared" ref="E9:O9" si="2">E7/E8*1000</f>
        <v>2626.9660792951545</v>
      </c>
      <c r="F9" s="6">
        <f t="shared" si="2"/>
        <v>2627.0134948096888</v>
      </c>
      <c r="G9" s="6">
        <f t="shared" si="2"/>
        <v>2569.2421686746993</v>
      </c>
      <c r="H9" s="6">
        <f t="shared" si="2"/>
        <v>2569.2420000000002</v>
      </c>
      <c r="I9" s="6">
        <v>0</v>
      </c>
      <c r="J9" s="6">
        <v>0</v>
      </c>
      <c r="K9" s="6">
        <v>0</v>
      </c>
      <c r="L9" s="6">
        <f t="shared" si="2"/>
        <v>2462.8893617021276</v>
      </c>
      <c r="M9" s="6">
        <f t="shared" si="2"/>
        <v>2462.8895000000002</v>
      </c>
      <c r="N9" s="6">
        <f t="shared" si="2"/>
        <v>2408.3700000000003</v>
      </c>
      <c r="O9" s="6">
        <f t="shared" si="2"/>
        <v>2390.0975999999996</v>
      </c>
      <c r="P9" s="6">
        <f>SUM(D9:O9)/9</f>
        <v>2527.0430884949906</v>
      </c>
    </row>
    <row r="10" spans="1:16" s="14" customFormat="1" ht="24" customHeight="1">
      <c r="A10" s="12" t="s">
        <v>91</v>
      </c>
      <c r="B10" s="22" t="s">
        <v>23</v>
      </c>
      <c r="C10" s="12" t="s">
        <v>16</v>
      </c>
      <c r="D10" s="13">
        <f>582113.76/1000</f>
        <v>582.11375999999996</v>
      </c>
      <c r="E10" s="13">
        <f>668083.36/1000</f>
        <v>668.08335999999997</v>
      </c>
      <c r="F10" s="13">
        <f>696637.91/1000</f>
        <v>696.63791000000003</v>
      </c>
      <c r="G10" s="13">
        <f>671363.35/1000</f>
        <v>671.36334999999997</v>
      </c>
      <c r="H10" s="13">
        <f>797979.31/1000</f>
        <v>797.97931000000005</v>
      </c>
      <c r="I10" s="13">
        <f>706849.19/1000</f>
        <v>706.84918999999991</v>
      </c>
      <c r="J10" s="13">
        <f>707421.4/1000</f>
        <v>707.42140000000006</v>
      </c>
      <c r="K10" s="13">
        <f>659794.21/1000</f>
        <v>659.79420999999991</v>
      </c>
      <c r="L10" s="13">
        <f>652311.75/1000</f>
        <v>652.31174999999996</v>
      </c>
      <c r="M10" s="13">
        <f>640610.61/1000</f>
        <v>640.61060999999995</v>
      </c>
      <c r="N10" s="13">
        <f>665016.47/1000</f>
        <v>665.01647000000003</v>
      </c>
      <c r="O10" s="13">
        <f>767714.31/1000</f>
        <v>767.71431000000007</v>
      </c>
      <c r="P10" s="55">
        <f t="shared" ref="P10:P17" si="3">SUM(D10:O10)</f>
        <v>8215.8956299999991</v>
      </c>
    </row>
    <row r="11" spans="1:16">
      <c r="A11" s="4" t="s">
        <v>38</v>
      </c>
      <c r="B11" s="5" t="s">
        <v>85</v>
      </c>
      <c r="C11" s="4" t="s">
        <v>30</v>
      </c>
      <c r="D11" s="6">
        <f>D10/D12*1000</f>
        <v>14552.843999999999</v>
      </c>
      <c r="E11" s="6">
        <f t="shared" ref="E11:O11" si="4">E10/E12*1000</f>
        <v>16294.716097560975</v>
      </c>
      <c r="F11" s="6">
        <f t="shared" si="4"/>
        <v>16991.168536585366</v>
      </c>
      <c r="G11" s="6">
        <f t="shared" si="4"/>
        <v>16374.715853658536</v>
      </c>
      <c r="H11" s="6">
        <f t="shared" si="4"/>
        <v>19462.91</v>
      </c>
      <c r="I11" s="6">
        <f t="shared" si="4"/>
        <v>17240.224146341461</v>
      </c>
      <c r="J11" s="6">
        <f t="shared" si="4"/>
        <v>17254.180487804882</v>
      </c>
      <c r="K11" s="6">
        <f t="shared" si="4"/>
        <v>16494.855249999997</v>
      </c>
      <c r="L11" s="6">
        <f t="shared" si="4"/>
        <v>16307.793749999999</v>
      </c>
      <c r="M11" s="6">
        <f t="shared" si="4"/>
        <v>16015.265249999999</v>
      </c>
      <c r="N11" s="6">
        <f t="shared" si="4"/>
        <v>16625.411750000003</v>
      </c>
      <c r="O11" s="6">
        <f t="shared" si="4"/>
        <v>19192.857750000003</v>
      </c>
      <c r="P11" s="6">
        <f>SUM(D11:O11)/12</f>
        <v>16900.578572662602</v>
      </c>
    </row>
    <row r="12" spans="1:16">
      <c r="A12" s="4" t="s">
        <v>39</v>
      </c>
      <c r="B12" s="5" t="s">
        <v>86</v>
      </c>
      <c r="C12" s="4" t="s">
        <v>31</v>
      </c>
      <c r="D12" s="6">
        <v>40</v>
      </c>
      <c r="E12" s="6">
        <v>41</v>
      </c>
      <c r="F12" s="6">
        <v>41</v>
      </c>
      <c r="G12" s="6">
        <v>41</v>
      </c>
      <c r="H12" s="6">
        <v>41</v>
      </c>
      <c r="I12" s="6">
        <v>41</v>
      </c>
      <c r="J12" s="6">
        <v>41</v>
      </c>
      <c r="K12" s="6">
        <v>40</v>
      </c>
      <c r="L12" s="6">
        <v>40</v>
      </c>
      <c r="M12" s="6">
        <v>40</v>
      </c>
      <c r="N12" s="6">
        <v>40</v>
      </c>
      <c r="O12" s="6">
        <v>40</v>
      </c>
      <c r="P12" s="6">
        <f t="shared" si="3"/>
        <v>486</v>
      </c>
    </row>
    <row r="13" spans="1:16" ht="22.5" customHeight="1">
      <c r="A13" s="4" t="s">
        <v>92</v>
      </c>
      <c r="B13" s="5" t="s">
        <v>24</v>
      </c>
      <c r="C13" s="4" t="s">
        <v>16</v>
      </c>
      <c r="D13" s="6">
        <f>D10*30%</f>
        <v>174.63412799999998</v>
      </c>
      <c r="E13" s="6">
        <f>E10*30%</f>
        <v>200.42500799999999</v>
      </c>
      <c r="F13" s="6">
        <f>F10*30%</f>
        <v>208.99137300000001</v>
      </c>
      <c r="G13" s="6">
        <f>G10*30%</f>
        <v>201.40900499999998</v>
      </c>
      <c r="H13" s="6">
        <v>204.45</v>
      </c>
      <c r="I13" s="6">
        <f t="shared" ref="I13:N13" si="5">I10*30%</f>
        <v>212.05475699999997</v>
      </c>
      <c r="J13" s="6">
        <f t="shared" si="5"/>
        <v>212.22642000000002</v>
      </c>
      <c r="K13" s="6">
        <f t="shared" si="5"/>
        <v>197.93826299999998</v>
      </c>
      <c r="L13" s="6">
        <f t="shared" si="5"/>
        <v>195.69352499999999</v>
      </c>
      <c r="M13" s="6">
        <f t="shared" si="5"/>
        <v>192.18318299999999</v>
      </c>
      <c r="N13" s="6">
        <f t="shared" si="5"/>
        <v>199.504941</v>
      </c>
      <c r="O13" s="6">
        <v>210.31</v>
      </c>
      <c r="P13" s="54">
        <f t="shared" si="3"/>
        <v>2409.8206029999997</v>
      </c>
    </row>
    <row r="14" spans="1:16" ht="18.75">
      <c r="A14" s="4" t="s">
        <v>93</v>
      </c>
      <c r="B14" s="5" t="s">
        <v>25</v>
      </c>
      <c r="C14" s="4" t="s">
        <v>16</v>
      </c>
      <c r="D14" s="6">
        <v>0</v>
      </c>
      <c r="E14" s="6">
        <v>0</v>
      </c>
      <c r="F14" s="6">
        <v>69</v>
      </c>
      <c r="G14" s="6"/>
      <c r="H14" s="6"/>
      <c r="I14" s="6"/>
      <c r="J14" s="6"/>
      <c r="K14" s="6"/>
      <c r="L14" s="6"/>
      <c r="M14" s="6"/>
      <c r="N14" s="6"/>
      <c r="O14" s="6"/>
      <c r="P14" s="54">
        <f t="shared" si="3"/>
        <v>69</v>
      </c>
    </row>
    <row r="15" spans="1:16" ht="15.75" customHeight="1">
      <c r="A15" s="4" t="s">
        <v>94</v>
      </c>
      <c r="B15" s="5" t="s">
        <v>35</v>
      </c>
      <c r="C15" s="4" t="s">
        <v>16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>
        <f t="shared" si="3"/>
        <v>0</v>
      </c>
    </row>
    <row r="16" spans="1:16" ht="31.5" customHeight="1">
      <c r="A16" s="4" t="s">
        <v>95</v>
      </c>
      <c r="B16" s="5" t="s">
        <v>83</v>
      </c>
      <c r="C16" s="4" t="s">
        <v>16</v>
      </c>
      <c r="D16" s="6">
        <v>643.29999999999995</v>
      </c>
      <c r="E16" s="6">
        <v>598.20000000000005</v>
      </c>
      <c r="F16" s="6">
        <v>590.5</v>
      </c>
      <c r="G16" s="6">
        <v>659</v>
      </c>
      <c r="H16" s="6">
        <v>640.5</v>
      </c>
      <c r="I16" s="6">
        <v>485</v>
      </c>
      <c r="J16" s="6">
        <v>633.29999999999995</v>
      </c>
      <c r="K16" s="6">
        <v>598.20000000000005</v>
      </c>
      <c r="L16" s="6">
        <v>728.5</v>
      </c>
      <c r="M16" s="6">
        <v>659</v>
      </c>
      <c r="N16" s="6">
        <v>643.5</v>
      </c>
      <c r="O16" s="6">
        <v>702.8</v>
      </c>
      <c r="P16" s="54">
        <f t="shared" si="3"/>
        <v>7581.8</v>
      </c>
    </row>
    <row r="17" spans="1:16" ht="21" customHeight="1">
      <c r="A17" s="4" t="s">
        <v>111</v>
      </c>
      <c r="B17" s="5" t="s">
        <v>129</v>
      </c>
      <c r="C17" s="4" t="s">
        <v>16</v>
      </c>
      <c r="D17" s="6">
        <f>D16*70%</f>
        <v>450.30999999999995</v>
      </c>
      <c r="E17" s="6">
        <f t="shared" ref="E17:O17" si="6">E16*70%</f>
        <v>418.74</v>
      </c>
      <c r="F17" s="6">
        <f t="shared" si="6"/>
        <v>413.34999999999997</v>
      </c>
      <c r="G17" s="6">
        <f t="shared" si="6"/>
        <v>461.29999999999995</v>
      </c>
      <c r="H17" s="6">
        <f t="shared" si="6"/>
        <v>448.34999999999997</v>
      </c>
      <c r="I17" s="6">
        <f t="shared" si="6"/>
        <v>339.5</v>
      </c>
      <c r="J17" s="6">
        <f t="shared" si="6"/>
        <v>443.30999999999995</v>
      </c>
      <c r="K17" s="6">
        <f t="shared" si="6"/>
        <v>418.74</v>
      </c>
      <c r="L17" s="6">
        <f t="shared" si="6"/>
        <v>509.95</v>
      </c>
      <c r="M17" s="6">
        <f t="shared" si="6"/>
        <v>461.29999999999995</v>
      </c>
      <c r="N17" s="6">
        <f t="shared" si="6"/>
        <v>450.45</v>
      </c>
      <c r="O17" s="6">
        <f t="shared" si="6"/>
        <v>491.95999999999992</v>
      </c>
      <c r="P17" s="6">
        <f t="shared" si="3"/>
        <v>5307.2599999999993</v>
      </c>
    </row>
    <row r="18" spans="1:16" ht="15.75" customHeight="1">
      <c r="A18" s="4" t="s">
        <v>96</v>
      </c>
      <c r="B18" s="5" t="s">
        <v>14</v>
      </c>
      <c r="C18" s="4" t="s">
        <v>16</v>
      </c>
      <c r="D18" s="10">
        <f t="shared" ref="D18:O18" si="7">D4+D7+D10+D13+D14+D15+D17+D16</f>
        <v>2359.8620979999996</v>
      </c>
      <c r="E18" s="10">
        <f t="shared" si="7"/>
        <v>2348.9651180000001</v>
      </c>
      <c r="F18" s="10">
        <f t="shared" si="7"/>
        <v>2403.643783</v>
      </c>
      <c r="G18" s="10">
        <f t="shared" si="7"/>
        <v>2392.3673650000001</v>
      </c>
      <c r="H18" s="10">
        <f t="shared" si="7"/>
        <v>2404.4493600000001</v>
      </c>
      <c r="I18" s="10">
        <f t="shared" si="7"/>
        <v>2051.0142470000001</v>
      </c>
      <c r="J18" s="10">
        <f t="shared" si="7"/>
        <v>2311.5562399999999</v>
      </c>
      <c r="K18" s="10">
        <f t="shared" si="7"/>
        <v>2264.3553729999999</v>
      </c>
      <c r="L18" s="10">
        <f t="shared" si="7"/>
        <v>2477.5541249999997</v>
      </c>
      <c r="M18" s="10">
        <f t="shared" si="7"/>
        <v>2317.6415829999996</v>
      </c>
      <c r="N18" s="10">
        <f t="shared" si="7"/>
        <v>2385.086961</v>
      </c>
      <c r="O18" s="10">
        <f t="shared" si="7"/>
        <v>2652.4267499999996</v>
      </c>
      <c r="P18" s="57">
        <f>P4+P7+P10+P13+P14+P16</f>
        <v>23061.663002999998</v>
      </c>
    </row>
    <row r="19" spans="1:16" s="16" customFormat="1" ht="15.75" customHeight="1">
      <c r="A19" s="4" t="s">
        <v>94</v>
      </c>
      <c r="B19" s="5" t="s">
        <v>35</v>
      </c>
      <c r="C19" s="4" t="s">
        <v>16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1266.67</v>
      </c>
      <c r="L19" s="6">
        <v>0</v>
      </c>
      <c r="M19" s="6">
        <v>0</v>
      </c>
      <c r="N19" s="6">
        <v>0</v>
      </c>
      <c r="O19" s="6">
        <v>0</v>
      </c>
      <c r="P19" s="6">
        <f t="shared" ref="P19" si="8">SUM(D19:O19)</f>
        <v>1266.67</v>
      </c>
    </row>
    <row r="20" spans="1:16" ht="24" customHeight="1">
      <c r="A20" s="77" t="s">
        <v>50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</row>
    <row r="21" spans="1:16" s="16" customFormat="1" ht="23.25" customHeight="1">
      <c r="A21" s="29" t="s">
        <v>97</v>
      </c>
      <c r="B21" s="28" t="s">
        <v>139</v>
      </c>
      <c r="C21" s="29" t="s">
        <v>16</v>
      </c>
      <c r="D21" s="10">
        <v>452.2</v>
      </c>
      <c r="E21" s="10">
        <v>454.8</v>
      </c>
      <c r="F21" s="10">
        <v>443.1</v>
      </c>
      <c r="G21" s="10">
        <v>465.8</v>
      </c>
      <c r="H21" s="10">
        <v>411.5</v>
      </c>
      <c r="I21" s="10">
        <v>447.9</v>
      </c>
      <c r="J21" s="10">
        <v>446.9</v>
      </c>
      <c r="K21" s="10">
        <v>460.5</v>
      </c>
      <c r="L21" s="10">
        <v>520.4</v>
      </c>
      <c r="M21" s="10">
        <v>558.5</v>
      </c>
      <c r="N21" s="10">
        <v>535.9</v>
      </c>
      <c r="O21" s="10">
        <v>529.5</v>
      </c>
      <c r="P21" s="10">
        <f t="shared" ref="P21" si="9">SUM(D21:O21)</f>
        <v>5726.9999999999991</v>
      </c>
    </row>
    <row r="22" spans="1:16">
      <c r="A22" s="4" t="s">
        <v>81</v>
      </c>
      <c r="B22" s="5" t="s">
        <v>53</v>
      </c>
      <c r="C22" s="4" t="s">
        <v>16</v>
      </c>
      <c r="D22" s="6">
        <v>0.27</v>
      </c>
      <c r="E22" s="6">
        <v>0.25</v>
      </c>
      <c r="F22" s="6">
        <v>0.16</v>
      </c>
      <c r="G22" s="6">
        <v>0.2</v>
      </c>
      <c r="H22" s="8">
        <v>0.2</v>
      </c>
      <c r="I22" s="6">
        <v>0.2</v>
      </c>
      <c r="J22" s="6">
        <v>0.23</v>
      </c>
      <c r="K22" s="6">
        <v>0.25</v>
      </c>
      <c r="L22" s="6">
        <v>0.23</v>
      </c>
      <c r="M22" s="6">
        <v>0.23</v>
      </c>
      <c r="N22" s="6">
        <v>0.2</v>
      </c>
      <c r="O22" s="6">
        <v>0.23</v>
      </c>
      <c r="P22" s="6">
        <f t="shared" ref="P22:P42" si="10">SUM(D22:O22)</f>
        <v>2.6500000000000004</v>
      </c>
    </row>
    <row r="23" spans="1:16">
      <c r="A23" s="4" t="s">
        <v>98</v>
      </c>
      <c r="B23" s="5" t="s">
        <v>55</v>
      </c>
      <c r="C23" s="4" t="s">
        <v>16</v>
      </c>
      <c r="D23" s="6">
        <v>11.47</v>
      </c>
      <c r="E23" s="6">
        <v>11.33</v>
      </c>
      <c r="F23" s="6">
        <v>11</v>
      </c>
      <c r="G23" s="6">
        <v>11</v>
      </c>
      <c r="H23" s="6">
        <v>11.3</v>
      </c>
      <c r="I23" s="6">
        <v>10.7</v>
      </c>
      <c r="J23" s="6">
        <v>12.97</v>
      </c>
      <c r="K23" s="6">
        <v>12.9</v>
      </c>
      <c r="L23" s="6">
        <v>7.22</v>
      </c>
      <c r="M23" s="6">
        <v>10.99</v>
      </c>
      <c r="N23" s="6">
        <v>9.6</v>
      </c>
      <c r="O23" s="6">
        <v>13.49</v>
      </c>
      <c r="P23" s="6">
        <f t="shared" si="10"/>
        <v>133.97</v>
      </c>
    </row>
    <row r="24" spans="1:16">
      <c r="A24" s="4" t="s">
        <v>99</v>
      </c>
      <c r="B24" s="5" t="s">
        <v>57</v>
      </c>
      <c r="C24" s="4" t="s">
        <v>16</v>
      </c>
      <c r="D24" s="6">
        <v>17.03</v>
      </c>
      <c r="E24" s="6">
        <v>21.1</v>
      </c>
      <c r="F24" s="6">
        <v>20.3</v>
      </c>
      <c r="G24" s="6">
        <v>18.399999999999999</v>
      </c>
      <c r="H24" s="6">
        <v>17.05</v>
      </c>
      <c r="I24" s="6">
        <v>16.850000000000001</v>
      </c>
      <c r="J24" s="6">
        <v>19.2</v>
      </c>
      <c r="K24" s="6">
        <v>15.2</v>
      </c>
      <c r="L24" s="6">
        <v>12.5</v>
      </c>
      <c r="M24" s="6">
        <v>19.7</v>
      </c>
      <c r="N24" s="6">
        <v>18.2</v>
      </c>
      <c r="O24" s="6">
        <v>21.04</v>
      </c>
      <c r="P24" s="6">
        <f t="shared" si="10"/>
        <v>216.56999999999996</v>
      </c>
    </row>
    <row r="25" spans="1:16">
      <c r="A25" s="4" t="s">
        <v>100</v>
      </c>
      <c r="B25" s="5" t="s">
        <v>59</v>
      </c>
      <c r="C25" s="4" t="s">
        <v>16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f t="shared" si="10"/>
        <v>0</v>
      </c>
    </row>
    <row r="26" spans="1:16">
      <c r="A26" s="4" t="s">
        <v>101</v>
      </c>
      <c r="B26" s="5" t="s">
        <v>61</v>
      </c>
      <c r="C26" s="4" t="s">
        <v>16</v>
      </c>
      <c r="D26" s="6">
        <v>69.900000000000006</v>
      </c>
      <c r="E26" s="6">
        <v>29.6</v>
      </c>
      <c r="F26" s="6">
        <v>28.22</v>
      </c>
      <c r="G26" s="6">
        <v>0</v>
      </c>
      <c r="H26" s="6">
        <v>0</v>
      </c>
      <c r="I26" s="6">
        <v>70.59</v>
      </c>
      <c r="J26" s="6">
        <v>0</v>
      </c>
      <c r="K26" s="6">
        <v>39.6</v>
      </c>
      <c r="L26" s="6">
        <v>0</v>
      </c>
      <c r="M26" s="6">
        <v>16.100000000000001</v>
      </c>
      <c r="N26" s="6">
        <v>26.3</v>
      </c>
      <c r="O26" s="6">
        <v>-41.75</v>
      </c>
      <c r="P26" s="6">
        <f t="shared" si="10"/>
        <v>238.56</v>
      </c>
    </row>
    <row r="27" spans="1:16">
      <c r="A27" s="4" t="s">
        <v>102</v>
      </c>
      <c r="B27" s="5" t="s">
        <v>63</v>
      </c>
      <c r="C27" s="4" t="s">
        <v>16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f t="shared" si="10"/>
        <v>0</v>
      </c>
    </row>
    <row r="28" spans="1:16">
      <c r="A28" s="4" t="s">
        <v>103</v>
      </c>
      <c r="B28" s="5" t="s">
        <v>65</v>
      </c>
      <c r="C28" s="4" t="s">
        <v>16</v>
      </c>
      <c r="D28" s="6">
        <v>97.9</v>
      </c>
      <c r="E28" s="6">
        <v>138.30000000000001</v>
      </c>
      <c r="F28" s="6">
        <v>133</v>
      </c>
      <c r="G28" s="6">
        <v>150.66999999999999</v>
      </c>
      <c r="H28" s="6">
        <v>13.59</v>
      </c>
      <c r="I28" s="6">
        <v>137.9</v>
      </c>
      <c r="J28" s="6">
        <v>160.80000000000001</v>
      </c>
      <c r="K28" s="6">
        <v>143</v>
      </c>
      <c r="L28" s="6">
        <v>0</v>
      </c>
      <c r="M28" s="6">
        <v>0</v>
      </c>
      <c r="N28" s="6">
        <v>0</v>
      </c>
      <c r="O28" s="6">
        <v>0</v>
      </c>
      <c r="P28" s="6">
        <f t="shared" si="10"/>
        <v>975.16000000000008</v>
      </c>
    </row>
    <row r="29" spans="1:16">
      <c r="A29" s="4" t="s">
        <v>104</v>
      </c>
      <c r="B29" s="5" t="s">
        <v>67</v>
      </c>
      <c r="C29" s="4" t="s">
        <v>16</v>
      </c>
      <c r="D29" s="6">
        <v>238.8</v>
      </c>
      <c r="E29" s="6">
        <v>238.4</v>
      </c>
      <c r="F29" s="6">
        <v>238.5</v>
      </c>
      <c r="G29" s="6">
        <v>268.26</v>
      </c>
      <c r="H29" s="6">
        <v>231</v>
      </c>
      <c r="I29" s="6">
        <v>191.2</v>
      </c>
      <c r="J29" s="6">
        <v>238.5</v>
      </c>
      <c r="K29" s="6">
        <v>226.14</v>
      </c>
      <c r="L29" s="6">
        <v>472.03</v>
      </c>
      <c r="M29" s="6">
        <v>480.87</v>
      </c>
      <c r="N29" s="6">
        <v>460</v>
      </c>
      <c r="O29" s="6">
        <v>475.1</v>
      </c>
      <c r="P29" s="6">
        <f t="shared" si="10"/>
        <v>3758.7999999999997</v>
      </c>
    </row>
    <row r="30" spans="1:16">
      <c r="A30" s="4" t="s">
        <v>105</v>
      </c>
      <c r="B30" s="5" t="s">
        <v>68</v>
      </c>
      <c r="C30" s="4" t="s">
        <v>16</v>
      </c>
      <c r="D30" s="6">
        <v>0</v>
      </c>
      <c r="E30" s="6">
        <v>0</v>
      </c>
      <c r="F30" s="6">
        <v>0</v>
      </c>
      <c r="G30" s="6">
        <v>5.83</v>
      </c>
      <c r="H30" s="6">
        <v>1.4</v>
      </c>
      <c r="I30" s="6">
        <v>1.9</v>
      </c>
      <c r="J30" s="6">
        <v>2.2999999999999998</v>
      </c>
      <c r="K30" s="6">
        <v>2</v>
      </c>
      <c r="L30" s="6">
        <v>0</v>
      </c>
      <c r="M30" s="6">
        <v>4.6399999999999997</v>
      </c>
      <c r="N30" s="6">
        <v>2.0299999999999998</v>
      </c>
      <c r="O30" s="6">
        <v>1.57</v>
      </c>
      <c r="P30" s="6">
        <f t="shared" si="10"/>
        <v>21.67</v>
      </c>
    </row>
    <row r="31" spans="1:16">
      <c r="A31" s="4" t="s">
        <v>106</v>
      </c>
      <c r="B31" s="5" t="s">
        <v>70</v>
      </c>
      <c r="C31" s="4" t="s">
        <v>16</v>
      </c>
      <c r="D31" s="6">
        <f>D21-D22-D23-D24-D25-D26-D27-D28-D29-D30</f>
        <v>16.829999999999956</v>
      </c>
      <c r="E31" s="6">
        <f t="shared" ref="E31:P31" si="11">E21-E22-E23-E24-E25-E26-E27-E28-E29-E30</f>
        <v>15.819999999999965</v>
      </c>
      <c r="F31" s="6">
        <f t="shared" si="11"/>
        <v>11.919999999999959</v>
      </c>
      <c r="G31" s="6">
        <f t="shared" si="11"/>
        <v>11.440000000000095</v>
      </c>
      <c r="H31" s="6">
        <f t="shared" si="11"/>
        <v>136.96</v>
      </c>
      <c r="I31" s="6">
        <f t="shared" si="11"/>
        <v>18.559999999999953</v>
      </c>
      <c r="J31" s="6">
        <f t="shared" si="11"/>
        <v>12.899999999999931</v>
      </c>
      <c r="K31" s="6">
        <f t="shared" si="11"/>
        <v>21.410000000000025</v>
      </c>
      <c r="L31" s="6">
        <f t="shared" si="11"/>
        <v>28.419999999999959</v>
      </c>
      <c r="M31" s="6">
        <f t="shared" si="11"/>
        <v>25.969999999999899</v>
      </c>
      <c r="N31" s="6">
        <f t="shared" si="11"/>
        <v>19.569999999999908</v>
      </c>
      <c r="O31" s="6">
        <f t="shared" si="11"/>
        <v>59.819999999999986</v>
      </c>
      <c r="P31" s="6">
        <f t="shared" si="11"/>
        <v>379.61999999999949</v>
      </c>
    </row>
    <row r="32" spans="1:16" ht="20.25" customHeight="1">
      <c r="A32" s="29" t="s">
        <v>107</v>
      </c>
      <c r="B32" s="28" t="s">
        <v>51</v>
      </c>
      <c r="C32" s="29" t="s">
        <v>16</v>
      </c>
      <c r="D32" s="10">
        <f t="shared" ref="D32:O32" si="12">SUM(D33:D42)</f>
        <v>211.38813559322034</v>
      </c>
      <c r="E32" s="10">
        <f t="shared" si="12"/>
        <v>300.30508474576271</v>
      </c>
      <c r="F32" s="10">
        <f t="shared" si="12"/>
        <v>375.61864406779659</v>
      </c>
      <c r="G32" s="10">
        <f t="shared" si="12"/>
        <v>536.0593220338983</v>
      </c>
      <c r="H32" s="10">
        <f t="shared" si="12"/>
        <v>384.51694915254234</v>
      </c>
      <c r="I32" s="10">
        <f t="shared" si="12"/>
        <v>280.89830508474574</v>
      </c>
      <c r="J32" s="10">
        <f t="shared" si="12"/>
        <v>235</v>
      </c>
      <c r="K32" s="10">
        <f t="shared" si="12"/>
        <v>306.7372881355933</v>
      </c>
      <c r="L32" s="10">
        <f t="shared" si="12"/>
        <v>263.57627118644075</v>
      </c>
      <c r="M32" s="10">
        <f t="shared" si="12"/>
        <v>395.56779661016952</v>
      </c>
      <c r="N32" s="10">
        <f t="shared" si="12"/>
        <v>688.12711864406776</v>
      </c>
      <c r="O32" s="10">
        <f t="shared" si="12"/>
        <v>425.4152542372882</v>
      </c>
      <c r="P32" s="10">
        <f t="shared" si="10"/>
        <v>4403.2101694915254</v>
      </c>
    </row>
    <row r="33" spans="1:16">
      <c r="A33" s="4" t="s">
        <v>112</v>
      </c>
      <c r="B33" s="5" t="s">
        <v>53</v>
      </c>
      <c r="C33" s="4" t="s">
        <v>16</v>
      </c>
      <c r="D33" s="6">
        <f>0.39/1.18</f>
        <v>0.33050847457627119</v>
      </c>
      <c r="E33" s="6">
        <f>0.47/1.18</f>
        <v>0.39830508474576271</v>
      </c>
      <c r="F33" s="6">
        <f>0.66/1.18</f>
        <v>0.55932203389830515</v>
      </c>
      <c r="G33" s="6">
        <f>0.27/1.18</f>
        <v>0.22881355932203393</v>
      </c>
      <c r="H33" s="6">
        <f>0.05/1.18</f>
        <v>4.2372881355932208E-2</v>
      </c>
      <c r="I33" s="6">
        <f>0.98/1.18</f>
        <v>0.83050847457627119</v>
      </c>
      <c r="J33" s="6">
        <f>0.3/1.18</f>
        <v>0.25423728813559321</v>
      </c>
      <c r="K33" s="6">
        <f>0.72/1.18</f>
        <v>0.61016949152542377</v>
      </c>
      <c r="L33" s="6">
        <f>0.66/1.18</f>
        <v>0.55932203389830515</v>
      </c>
      <c r="M33" s="6">
        <f>0.5/1.18</f>
        <v>0.42372881355932207</v>
      </c>
      <c r="N33" s="6">
        <f>0.37/1.18</f>
        <v>0.3135593220338983</v>
      </c>
      <c r="O33" s="6">
        <f>1.03/1.18</f>
        <v>0.87288135593220351</v>
      </c>
      <c r="P33" s="6">
        <f t="shared" si="10"/>
        <v>5.4237288135593218</v>
      </c>
    </row>
    <row r="34" spans="1:16">
      <c r="A34" s="4" t="s">
        <v>113</v>
      </c>
      <c r="B34" s="5" t="s">
        <v>55</v>
      </c>
      <c r="C34" s="4" t="s">
        <v>16</v>
      </c>
      <c r="D34" s="6">
        <f>18.18/1.18</f>
        <v>15.40677966101695</v>
      </c>
      <c r="E34" s="6">
        <f>13.89/1.18</f>
        <v>11.771186440677967</v>
      </c>
      <c r="F34" s="6">
        <f>38.99/1.18</f>
        <v>33.042372881355938</v>
      </c>
      <c r="G34" s="6">
        <f>25.53/1.18</f>
        <v>21.635593220338986</v>
      </c>
      <c r="H34" s="6">
        <f>24.09/1.18</f>
        <v>20.415254237288135</v>
      </c>
      <c r="I34" s="6">
        <f>22.96/1.18</f>
        <v>19.457627118644069</v>
      </c>
      <c r="J34" s="6">
        <f>22.54/1.18</f>
        <v>19.101694915254239</v>
      </c>
      <c r="K34" s="6">
        <f>29.86/1.18</f>
        <v>25.305084745762713</v>
      </c>
      <c r="L34" s="6">
        <f>32/1.18</f>
        <v>27.118644067796613</v>
      </c>
      <c r="M34" s="6">
        <f>25.39/1.18</f>
        <v>21.516949152542374</v>
      </c>
      <c r="N34" s="6">
        <f>29.68/1.18</f>
        <v>25.152542372881356</v>
      </c>
      <c r="O34" s="6">
        <f>56.92/1.18</f>
        <v>48.237288135593225</v>
      </c>
      <c r="P34" s="6">
        <f t="shared" si="10"/>
        <v>288.16101694915255</v>
      </c>
    </row>
    <row r="35" spans="1:16">
      <c r="A35" s="4" t="s">
        <v>114</v>
      </c>
      <c r="B35" s="5" t="s">
        <v>57</v>
      </c>
      <c r="C35" s="4" t="s">
        <v>16</v>
      </c>
      <c r="D35" s="6">
        <v>0</v>
      </c>
      <c r="E35" s="6">
        <f>16.7/1.18</f>
        <v>14.152542372881356</v>
      </c>
      <c r="F35" s="6">
        <f>74.8/1.18</f>
        <v>63.389830508474574</v>
      </c>
      <c r="G35" s="6">
        <f>51.91/1.18</f>
        <v>43.99152542372881</v>
      </c>
      <c r="H35" s="6">
        <f>22.25/1.18</f>
        <v>18.85593220338983</v>
      </c>
      <c r="I35" s="6">
        <f>10.47/1.18</f>
        <v>8.8728813559322042</v>
      </c>
      <c r="J35" s="6">
        <f>10.16/1.18</f>
        <v>8.6101694915254239</v>
      </c>
      <c r="K35" s="6">
        <f>33.22/1.18</f>
        <v>28.152542372881356</v>
      </c>
      <c r="L35" s="6">
        <f>32.84/1.18</f>
        <v>27.830508474576277</v>
      </c>
      <c r="M35" s="6">
        <f>25.01/1.18</f>
        <v>21.194915254237291</v>
      </c>
      <c r="N35" s="6">
        <f>22.93/1.18</f>
        <v>19.432203389830509</v>
      </c>
      <c r="O35" s="6">
        <f>0.09/1.18</f>
        <v>7.6271186440677971E-2</v>
      </c>
      <c r="P35" s="6">
        <f t="shared" si="10"/>
        <v>254.5593220338983</v>
      </c>
    </row>
    <row r="36" spans="1:16">
      <c r="A36" s="4" t="s">
        <v>115</v>
      </c>
      <c r="B36" s="5" t="s">
        <v>59</v>
      </c>
      <c r="C36" s="4" t="s">
        <v>16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f>0.05/1.18</f>
        <v>4.2372881355932208E-2</v>
      </c>
      <c r="K36" s="6">
        <f>15.34/1.18</f>
        <v>13</v>
      </c>
      <c r="L36" s="6">
        <f>9.25/1.18</f>
        <v>7.8389830508474576</v>
      </c>
      <c r="M36" s="6">
        <f>2.6/1.18</f>
        <v>2.2033898305084749</v>
      </c>
      <c r="N36" s="6">
        <v>0</v>
      </c>
      <c r="O36" s="6">
        <v>0</v>
      </c>
      <c r="P36" s="6">
        <f t="shared" si="10"/>
        <v>23.084745762711865</v>
      </c>
    </row>
    <row r="37" spans="1:16">
      <c r="A37" s="4" t="s">
        <v>116</v>
      </c>
      <c r="B37" s="5" t="s">
        <v>61</v>
      </c>
      <c r="C37" s="4" t="s">
        <v>16</v>
      </c>
      <c r="D37" s="6">
        <f>9.03/1.18</f>
        <v>7.6525423728813555</v>
      </c>
      <c r="E37" s="6">
        <f>7.53/1.18</f>
        <v>6.3813559322033901</v>
      </c>
      <c r="F37" s="6">
        <v>0</v>
      </c>
      <c r="G37" s="6">
        <f>4.07/1.18</f>
        <v>3.4491525423728819</v>
      </c>
      <c r="H37" s="6">
        <v>0</v>
      </c>
      <c r="I37" s="6">
        <v>0</v>
      </c>
      <c r="J37" s="6">
        <v>0</v>
      </c>
      <c r="K37" s="6">
        <f>46.22/1.18</f>
        <v>39.16949152542373</v>
      </c>
      <c r="L37" s="6">
        <f>3.33/1.18</f>
        <v>2.8220338983050848</v>
      </c>
      <c r="M37" s="6">
        <f>56.2/1.18</f>
        <v>47.627118644067799</v>
      </c>
      <c r="N37" s="6">
        <f>36.33/1.18</f>
        <v>30.788135593220339</v>
      </c>
      <c r="O37" s="6">
        <f>13.67/1.18</f>
        <v>11.584745762711865</v>
      </c>
      <c r="P37" s="6">
        <f t="shared" si="10"/>
        <v>149.47457627118644</v>
      </c>
    </row>
    <row r="38" spans="1:16">
      <c r="A38" s="4" t="s">
        <v>117</v>
      </c>
      <c r="B38" s="5" t="s">
        <v>63</v>
      </c>
      <c r="C38" s="4" t="s">
        <v>16</v>
      </c>
      <c r="D38" s="6">
        <f>0.24/1.18</f>
        <v>0.20338983050847459</v>
      </c>
      <c r="E38" s="6">
        <v>0</v>
      </c>
      <c r="F38" s="6">
        <f>0.37/1.18</f>
        <v>0.3135593220338983</v>
      </c>
      <c r="G38" s="6">
        <v>0</v>
      </c>
      <c r="H38" s="6">
        <v>0</v>
      </c>
      <c r="I38" s="6">
        <v>0</v>
      </c>
      <c r="J38" s="6">
        <f>0.05/1.18</f>
        <v>4.2372881355932208E-2</v>
      </c>
      <c r="K38" s="6">
        <f>9.09/1.18</f>
        <v>7.7033898305084749</v>
      </c>
      <c r="L38" s="6">
        <v>0</v>
      </c>
      <c r="M38" s="6">
        <v>0</v>
      </c>
      <c r="N38" s="6">
        <f>8.65/1.18</f>
        <v>7.3305084745762716</v>
      </c>
      <c r="O38" s="6">
        <v>0</v>
      </c>
      <c r="P38" s="6">
        <f t="shared" si="10"/>
        <v>15.593220338983052</v>
      </c>
    </row>
    <row r="39" spans="1:16" ht="14.25" customHeight="1">
      <c r="A39" s="4" t="s">
        <v>118</v>
      </c>
      <c r="B39" s="5" t="s">
        <v>65</v>
      </c>
      <c r="C39" s="4" t="s">
        <v>16</v>
      </c>
      <c r="D39" s="6">
        <f>44.49/1.18</f>
        <v>37.703389830508478</v>
      </c>
      <c r="E39" s="6">
        <f>144.26/1.18</f>
        <v>122.2542372881356</v>
      </c>
      <c r="F39" s="6">
        <f>163.95/1.18</f>
        <v>138.9406779661017</v>
      </c>
      <c r="G39" s="6">
        <f>176.56/1.18</f>
        <v>149.62711864406779</v>
      </c>
      <c r="H39" s="6">
        <f>176.17/1.18</f>
        <v>149.29661016949152</v>
      </c>
      <c r="I39" s="6">
        <f>91.3/1.18</f>
        <v>77.372881355932208</v>
      </c>
      <c r="J39" s="6">
        <f>67.88/1.18</f>
        <v>57.525423728813557</v>
      </c>
      <c r="K39" s="6">
        <f>12.25/1.18</f>
        <v>10.381355932203391</v>
      </c>
      <c r="L39" s="6">
        <f>21.98/1.18</f>
        <v>18.627118644067799</v>
      </c>
      <c r="M39" s="6">
        <f>21.62/1.18</f>
        <v>18.322033898305087</v>
      </c>
      <c r="N39" s="6">
        <f>354.44/1.18</f>
        <v>300.37288135593224</v>
      </c>
      <c r="O39" s="6">
        <f>89.92/1.18</f>
        <v>76.203389830508485</v>
      </c>
      <c r="P39" s="6">
        <f t="shared" si="10"/>
        <v>1156.6271186440677</v>
      </c>
    </row>
    <row r="40" spans="1:16" ht="15" customHeight="1">
      <c r="A40" s="4" t="s">
        <v>119</v>
      </c>
      <c r="B40" s="5" t="s">
        <v>67</v>
      </c>
      <c r="C40" s="4" t="s">
        <v>16</v>
      </c>
      <c r="D40" s="8">
        <f>(253.51-41.25-54.43)/1.18</f>
        <v>133.75423728813558</v>
      </c>
      <c r="E40" s="8">
        <f>(229.23-41.25-54.43)/1.18</f>
        <v>113.17796610169491</v>
      </c>
      <c r="F40" s="8">
        <f>(240.89-41.25-54.43)/1.18</f>
        <v>123.0593220338983</v>
      </c>
      <c r="G40" s="8">
        <f>(327.3-41.25-54.43)/1.18</f>
        <v>196.28813559322035</v>
      </c>
      <c r="H40" s="8">
        <f>(300.63-41.25-54.43)/1.18</f>
        <v>173.68644067796609</v>
      </c>
      <c r="I40" s="8">
        <f>(273.02-41.25-54.43)/1.18</f>
        <v>150.28813559322032</v>
      </c>
      <c r="J40" s="8">
        <f>(210.9-41.25-54.43)/1.18</f>
        <v>97.644067796610173</v>
      </c>
      <c r="K40" s="8">
        <f>(265.98-41.25-54.43)/1.18</f>
        <v>144.32203389830511</v>
      </c>
      <c r="L40" s="8">
        <f>(265.6-41.25-54.43)/1.18</f>
        <v>144.00000000000003</v>
      </c>
      <c r="M40" s="8">
        <f>(295.08-41.25-54.43)/1.18</f>
        <v>168.9830508474576</v>
      </c>
      <c r="N40" s="8">
        <f>(405.02-41.25-54.43)/1.18</f>
        <v>262.15254237288133</v>
      </c>
      <c r="O40" s="8">
        <f>(382.3-41.25-54.43)/1.18</f>
        <v>242.89830508474577</v>
      </c>
      <c r="P40" s="6">
        <f t="shared" si="10"/>
        <v>1950.2542372881355</v>
      </c>
    </row>
    <row r="41" spans="1:16" s="7" customFormat="1" ht="15" customHeight="1">
      <c r="A41" s="4">
        <v>10.09</v>
      </c>
      <c r="B41" s="5" t="s">
        <v>68</v>
      </c>
      <c r="C41" s="4" t="s">
        <v>16</v>
      </c>
      <c r="D41" s="8">
        <v>0</v>
      </c>
      <c r="E41" s="8">
        <v>0</v>
      </c>
      <c r="F41" s="8">
        <v>0</v>
      </c>
      <c r="G41" s="8">
        <f>120.14/1.18</f>
        <v>101.81355932203391</v>
      </c>
      <c r="H41" s="8">
        <f>14.35/1.18</f>
        <v>12.161016949152543</v>
      </c>
      <c r="I41" s="8">
        <f>0.5/1.18</f>
        <v>0.42372881355932207</v>
      </c>
      <c r="J41" s="8">
        <f>42.29/1.18</f>
        <v>35.83898305084746</v>
      </c>
      <c r="K41" s="8">
        <f>26.51/1.18</f>
        <v>22.466101694915256</v>
      </c>
      <c r="L41" s="8">
        <v>0</v>
      </c>
      <c r="M41" s="8">
        <f>108.66/1.18</f>
        <v>92.084745762711862</v>
      </c>
      <c r="N41" s="8">
        <f>32.21/1.18</f>
        <v>27.296610169491526</v>
      </c>
      <c r="O41" s="8">
        <f>26.7/1.18</f>
        <v>22.627118644067796</v>
      </c>
      <c r="P41" s="6">
        <f t="shared" si="10"/>
        <v>314.71186440677974</v>
      </c>
    </row>
    <row r="42" spans="1:16" ht="14.25" customHeight="1">
      <c r="A42" s="4" t="s">
        <v>121</v>
      </c>
      <c r="B42" s="5" t="s">
        <v>70</v>
      </c>
      <c r="C42" s="4" t="s">
        <v>16</v>
      </c>
      <c r="D42" s="6">
        <f>19.278/1.18</f>
        <v>16.337288135593219</v>
      </c>
      <c r="E42" s="6">
        <f>37.96/1.18</f>
        <v>32.16949152542373</v>
      </c>
      <c r="F42" s="6">
        <f>19.25/1.18</f>
        <v>16.3135593220339</v>
      </c>
      <c r="G42" s="6">
        <f>22.45/1.18</f>
        <v>19.025423728813561</v>
      </c>
      <c r="H42" s="6">
        <f>11.87/1.18</f>
        <v>10.059322033898304</v>
      </c>
      <c r="I42" s="6">
        <f>27.91/1.18</f>
        <v>23.652542372881356</v>
      </c>
      <c r="J42" s="6">
        <f>18.81/1.18</f>
        <v>15.940677966101696</v>
      </c>
      <c r="K42" s="6">
        <f>18.44/1.18</f>
        <v>15.627118644067799</v>
      </c>
      <c r="L42" s="6">
        <f>41.04/1.18</f>
        <v>34.779661016949156</v>
      </c>
      <c r="M42" s="6">
        <f>27.39/1.18</f>
        <v>23.211864406779664</v>
      </c>
      <c r="N42" s="6">
        <f>18.04/1.18</f>
        <v>15.288135593220339</v>
      </c>
      <c r="O42" s="6">
        <f>27.04/1.18</f>
        <v>22.915254237288135</v>
      </c>
      <c r="P42" s="6">
        <f t="shared" si="10"/>
        <v>245.32033898305085</v>
      </c>
    </row>
    <row r="43" spans="1:16" ht="39.75" customHeight="1">
      <c r="A43" s="4" t="s">
        <v>122</v>
      </c>
      <c r="B43" s="5" t="s">
        <v>157</v>
      </c>
      <c r="C43" s="4" t="s">
        <v>16</v>
      </c>
      <c r="D43" s="6">
        <f>D32-D21</f>
        <v>-240.81186440677965</v>
      </c>
      <c r="E43" s="6">
        <f t="shared" ref="E43:P43" si="13">E32-E21</f>
        <v>-154.4949152542373</v>
      </c>
      <c r="F43" s="6">
        <f t="shared" si="13"/>
        <v>-67.481355932203428</v>
      </c>
      <c r="G43" s="6">
        <f t="shared" si="13"/>
        <v>70.259322033898286</v>
      </c>
      <c r="H43" s="6">
        <f t="shared" si="13"/>
        <v>-26.983050847457662</v>
      </c>
      <c r="I43" s="6">
        <f t="shared" si="13"/>
        <v>-167.00169491525423</v>
      </c>
      <c r="J43" s="6">
        <f t="shared" si="13"/>
        <v>-211.89999999999998</v>
      </c>
      <c r="K43" s="6">
        <f t="shared" si="13"/>
        <v>-153.7627118644067</v>
      </c>
      <c r="L43" s="6">
        <f t="shared" si="13"/>
        <v>-256.82372881355923</v>
      </c>
      <c r="M43" s="6">
        <f t="shared" si="13"/>
        <v>-162.93220338983048</v>
      </c>
      <c r="N43" s="6">
        <f t="shared" si="13"/>
        <v>152.22711864406779</v>
      </c>
      <c r="O43" s="6">
        <f t="shared" si="13"/>
        <v>-104.0847457627118</v>
      </c>
      <c r="P43" s="6">
        <f t="shared" si="13"/>
        <v>-1323.7898305084736</v>
      </c>
    </row>
    <row r="44" spans="1:16" ht="49.5" customHeight="1">
      <c r="A44" s="72" t="s">
        <v>155</v>
      </c>
      <c r="B44" s="73"/>
      <c r="C44" s="46" t="s">
        <v>16</v>
      </c>
      <c r="D44" s="47">
        <f>D21-D18</f>
        <v>-1907.6620979999996</v>
      </c>
      <c r="E44" s="47">
        <f t="shared" ref="E44:P44" si="14">E21-E18</f>
        <v>-1894.1651180000001</v>
      </c>
      <c r="F44" s="47">
        <f t="shared" si="14"/>
        <v>-1960.5437830000001</v>
      </c>
      <c r="G44" s="47">
        <f t="shared" si="14"/>
        <v>-1926.5673650000001</v>
      </c>
      <c r="H44" s="47">
        <f t="shared" si="14"/>
        <v>-1992.9493600000001</v>
      </c>
      <c r="I44" s="47">
        <f t="shared" si="14"/>
        <v>-1603.114247</v>
      </c>
      <c r="J44" s="47">
        <f t="shared" si="14"/>
        <v>-1864.6562399999998</v>
      </c>
      <c r="K44" s="47">
        <f t="shared" si="14"/>
        <v>-1803.8553729999999</v>
      </c>
      <c r="L44" s="47">
        <f t="shared" si="14"/>
        <v>-1957.1541249999996</v>
      </c>
      <c r="M44" s="47">
        <f t="shared" si="14"/>
        <v>-1759.1415829999996</v>
      </c>
      <c r="N44" s="47">
        <f t="shared" si="14"/>
        <v>-1849.1869609999999</v>
      </c>
      <c r="O44" s="47">
        <f t="shared" si="14"/>
        <v>-2122.9267499999996</v>
      </c>
      <c r="P44" s="47">
        <f t="shared" si="14"/>
        <v>-17334.663002999998</v>
      </c>
    </row>
    <row r="45" spans="1:16" ht="32.25" customHeight="1">
      <c r="A45" s="74" t="s">
        <v>156</v>
      </c>
      <c r="B45" s="75"/>
      <c r="C45" s="4" t="s">
        <v>16</v>
      </c>
      <c r="D45" s="6">
        <f>D32-D18</f>
        <v>-2148.4739624067793</v>
      </c>
      <c r="E45" s="6">
        <f t="shared" ref="E45:P45" si="15">E32-E18</f>
        <v>-2048.6600332542375</v>
      </c>
      <c r="F45" s="6">
        <f t="shared" si="15"/>
        <v>-2028.0251389322034</v>
      </c>
      <c r="G45" s="6">
        <f t="shared" si="15"/>
        <v>-1856.3080429661018</v>
      </c>
      <c r="H45" s="6">
        <f t="shared" si="15"/>
        <v>-2019.9324108474577</v>
      </c>
      <c r="I45" s="6">
        <f t="shared" si="15"/>
        <v>-1770.1159419152543</v>
      </c>
      <c r="J45" s="6">
        <f t="shared" si="15"/>
        <v>-2076.5562399999999</v>
      </c>
      <c r="K45" s="6">
        <f t="shared" si="15"/>
        <v>-1957.6180848644067</v>
      </c>
      <c r="L45" s="6">
        <f t="shared" si="15"/>
        <v>-2213.9778538135588</v>
      </c>
      <c r="M45" s="6">
        <f t="shared" si="15"/>
        <v>-1922.07378638983</v>
      </c>
      <c r="N45" s="6">
        <f t="shared" si="15"/>
        <v>-1696.9598423559323</v>
      </c>
      <c r="O45" s="6">
        <f t="shared" si="15"/>
        <v>-2227.0114957627115</v>
      </c>
      <c r="P45" s="6">
        <f t="shared" si="15"/>
        <v>-18658.452833508472</v>
      </c>
    </row>
    <row r="46" spans="1:16">
      <c r="A46" s="2"/>
      <c r="B46" s="3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>
      <c r="A47" s="2"/>
      <c r="B47" s="3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>
      <c r="A48" s="2"/>
      <c r="B48" s="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>
      <c r="A49" s="2"/>
      <c r="B49" s="3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>
      <c r="A50" s="2"/>
      <c r="B50" s="3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>
      <c r="A51" s="2"/>
      <c r="B51" s="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>
      <c r="A52" s="2"/>
      <c r="B52" s="3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>
      <c r="A53" s="2"/>
      <c r="B53" s="3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>
      <c r="A54" s="2"/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>
      <c r="A55" s="2"/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>
      <c r="A56" s="2"/>
      <c r="B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>
      <c r="A57" s="2"/>
      <c r="B57" s="3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>
      <c r="A58" s="2"/>
      <c r="B58" s="3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>
      <c r="A59" s="2"/>
      <c r="B59" s="3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>
      <c r="A60" s="2"/>
      <c r="B60" s="3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>
      <c r="A61" s="2"/>
      <c r="B61" s="3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>
      <c r="A62" s="2"/>
      <c r="B62" s="3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>
      <c r="A63" s="2"/>
      <c r="B63" s="3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>
      <c r="A64" s="2"/>
      <c r="B64" s="3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>
      <c r="A65" s="2"/>
      <c r="B65" s="3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>
      <c r="A66" s="2"/>
      <c r="B66" s="3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>
      <c r="A67" s="2"/>
      <c r="B67" s="3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>
      <c r="A68" s="2"/>
      <c r="B68" s="3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>
      <c r="A69" s="2"/>
      <c r="B69" s="3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>
      <c r="A70" s="2"/>
      <c r="B70" s="3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>
      <c r="A71" s="2"/>
      <c r="B71" s="3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>
      <c r="A72" s="2"/>
      <c r="B72" s="3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>
      <c r="A73" s="2"/>
      <c r="B73" s="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>
      <c r="A74" s="2"/>
      <c r="B74" s="3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>
      <c r="A75" s="2"/>
      <c r="B75" s="3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>
      <c r="A76" s="2"/>
      <c r="B76" s="3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>
      <c r="A77" s="2"/>
      <c r="B77" s="3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>
      <c r="A78" s="2"/>
      <c r="B78" s="3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>
      <c r="A79" s="2"/>
      <c r="B79" s="3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>
      <c r="A81" s="2"/>
      <c r="B81" s="3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>
      <c r="A82" s="2"/>
      <c r="B82" s="3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>
      <c r="A83" s="2"/>
      <c r="B83" s="3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>
      <c r="A84" s="2"/>
      <c r="B84" s="3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>
      <c r="A85" s="2"/>
      <c r="B85" s="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>
      <c r="A86" s="2"/>
      <c r="B86" s="3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>
      <c r="A87" s="2"/>
      <c r="B87" s="3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>
      <c r="A88" s="2"/>
      <c r="B88" s="3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>
      <c r="A89" s="2"/>
      <c r="B89" s="3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>
      <c r="A90" s="2"/>
      <c r="B90" s="3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>
      <c r="A91" s="2"/>
      <c r="B91" s="3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>
      <c r="A92" s="2"/>
      <c r="B92" s="3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>
      <c r="A93" s="2"/>
      <c r="B93" s="3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>
      <c r="A94" s="2"/>
      <c r="B94" s="3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>
      <c r="A95" s="2"/>
      <c r="B95" s="3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>
      <c r="A96" s="2"/>
      <c r="B96" s="3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>
      <c r="A97" s="2"/>
      <c r="B97" s="3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>
      <c r="A98" s="2"/>
      <c r="B98" s="3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>
      <c r="A99" s="2"/>
      <c r="B99" s="3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>
      <c r="A100" s="2"/>
      <c r="B100" s="3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>
      <c r="A101" s="2"/>
      <c r="B101" s="3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>
      <c r="A102" s="2"/>
      <c r="B102" s="3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>
      <c r="A103" s="2"/>
      <c r="B103" s="3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>
      <c r="A104" s="2"/>
      <c r="B104" s="3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>
      <c r="A105" s="2"/>
      <c r="B105" s="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>
      <c r="A106" s="2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>
      <c r="A107" s="2"/>
      <c r="B107" s="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>
      <c r="A108" s="2"/>
      <c r="B108" s="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>
      <c r="A109" s="2"/>
      <c r="B109" s="3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>
      <c r="A110" s="2"/>
      <c r="B110" s="3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>
      <c r="A111" s="2"/>
      <c r="B111" s="3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>
      <c r="A112" s="2"/>
      <c r="B112" s="3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>
      <c r="A113" s="2"/>
      <c r="B113" s="3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>
      <c r="A114" s="2"/>
      <c r="B114" s="3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>
      <c r="A115" s="2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>
      <c r="A116" s="2"/>
      <c r="B116" s="3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>
      <c r="A117" s="2"/>
      <c r="B117" s="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>
      <c r="A118" s="2"/>
      <c r="B118" s="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>
      <c r="A119" s="2"/>
      <c r="B119" s="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>
      <c r="A120" s="2"/>
      <c r="B120" s="3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>
      <c r="A121" s="2"/>
      <c r="B121" s="3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>
      <c r="A122" s="2"/>
      <c r="B122" s="3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>
      <c r="A123" s="2"/>
      <c r="B123" s="3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>
      <c r="A124" s="2"/>
      <c r="B124" s="3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>
      <c r="A125" s="2"/>
      <c r="B125" s="3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>
      <c r="A126" s="2"/>
      <c r="B126" s="3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>
      <c r="A127" s="2"/>
      <c r="B127" s="3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>
      <c r="A128" s="2"/>
      <c r="B128" s="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>
      <c r="A129" s="2"/>
      <c r="B129" s="3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>
      <c r="A130" s="2"/>
      <c r="B130" s="3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>
      <c r="A131" s="2"/>
      <c r="B131" s="3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>
      <c r="A132" s="2"/>
      <c r="B132" s="3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>
      <c r="A133" s="2"/>
      <c r="B133" s="3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>
      <c r="A134" s="2"/>
      <c r="B134" s="3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>
      <c r="A135" s="2"/>
      <c r="B135" s="3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>
      <c r="A136" s="2"/>
      <c r="B136" s="3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>
      <c r="A137" s="2"/>
      <c r="B137" s="3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>
      <c r="A138" s="2"/>
      <c r="B138" s="3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>
      <c r="A139" s="2"/>
      <c r="B139" s="3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>
      <c r="A140" s="2"/>
      <c r="B140" s="3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>
      <c r="A141" s="2"/>
      <c r="B141" s="3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>
      <c r="A142" s="2"/>
      <c r="B142" s="3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>
      <c r="A143" s="2"/>
      <c r="B143" s="3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>
      <c r="A144" s="2"/>
      <c r="B144" s="3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>
      <c r="A145" s="2"/>
      <c r="B145" s="3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>
      <c r="A146" s="2"/>
      <c r="B146" s="3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>
      <c r="A147" s="2"/>
      <c r="B147" s="3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>
      <c r="A148" s="2"/>
      <c r="B148" s="3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>
      <c r="A149" s="2"/>
      <c r="B149" s="3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>
      <c r="A150" s="2"/>
      <c r="B150" s="3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>
      <c r="A151" s="2"/>
      <c r="B151" s="3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>
      <c r="A152" s="2"/>
      <c r="B152" s="3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>
      <c r="A153" s="2"/>
      <c r="B153" s="3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>
      <c r="A154" s="2"/>
      <c r="B154" s="3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>
      <c r="A155" s="2"/>
      <c r="B155" s="3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>
      <c r="A156" s="2"/>
      <c r="B156" s="3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>
      <c r="A157" s="2"/>
      <c r="B157" s="3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>
      <c r="A158" s="2"/>
      <c r="B158" s="3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>
      <c r="A159" s="2"/>
      <c r="B159" s="3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>
      <c r="A160" s="2"/>
      <c r="B160" s="3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>
      <c r="A161" s="2"/>
      <c r="B161" s="3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>
      <c r="A162" s="2"/>
      <c r="B162" s="3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>
      <c r="A163" s="2"/>
      <c r="B163" s="3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>
      <c r="A164" s="2"/>
      <c r="B164" s="3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>
      <c r="A165" s="2"/>
      <c r="B165" s="3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>
      <c r="A166" s="2"/>
      <c r="B166" s="3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>
      <c r="A167" s="2"/>
      <c r="B167" s="3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>
      <c r="A168" s="2"/>
      <c r="B168" s="3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>
      <c r="A169" s="2"/>
      <c r="B169" s="3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>
      <c r="A170" s="2"/>
      <c r="B170" s="3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>
      <c r="A171" s="2"/>
      <c r="B171" s="3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>
      <c r="A172" s="2"/>
      <c r="B172" s="3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>
      <c r="A173" s="2"/>
      <c r="B173" s="3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>
      <c r="A174" s="2"/>
      <c r="B174" s="3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>
      <c r="A175" s="2"/>
      <c r="B175" s="3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>
      <c r="A176" s="2"/>
      <c r="B176" s="3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>
      <c r="A177" s="2"/>
      <c r="B177" s="3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>
      <c r="A178" s="2"/>
      <c r="B178" s="3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>
      <c r="A179" s="2"/>
      <c r="B179" s="3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>
      <c r="A180" s="2"/>
      <c r="B180" s="3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>
      <c r="A181" s="2"/>
      <c r="B181" s="3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>
      <c r="A182" s="2"/>
      <c r="B182" s="3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>
      <c r="A183" s="2"/>
      <c r="B183" s="3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>
      <c r="A184" s="2"/>
      <c r="B184" s="3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>
      <c r="A185" s="2"/>
      <c r="B185" s="3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>
      <c r="A186" s="2"/>
      <c r="B186" s="3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>
      <c r="A187" s="2"/>
      <c r="B187" s="3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>
      <c r="A188" s="2"/>
      <c r="B188" s="3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>
      <c r="A189" s="2"/>
      <c r="B189" s="3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>
      <c r="A190" s="2"/>
      <c r="B190" s="3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>
      <c r="A191" s="2"/>
      <c r="B191" s="3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>
      <c r="A192" s="2"/>
      <c r="B192" s="3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>
      <c r="A193" s="2"/>
      <c r="B193" s="3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>
      <c r="A194" s="2"/>
      <c r="B194" s="3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>
      <c r="A195" s="2"/>
      <c r="B195" s="3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>
      <c r="A196" s="2"/>
      <c r="B196" s="3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>
      <c r="A197" s="2"/>
      <c r="B197" s="3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>
      <c r="A198" s="2"/>
      <c r="B198" s="3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>
      <c r="A199" s="2"/>
      <c r="B199" s="3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>
      <c r="A200" s="2"/>
      <c r="B200" s="3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>
      <c r="A201" s="2"/>
      <c r="B201" s="3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>
      <c r="A202" s="2"/>
      <c r="B202" s="3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>
      <c r="A203" s="2"/>
      <c r="B203" s="3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>
      <c r="A204" s="2"/>
      <c r="B204" s="3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>
      <c r="A205" s="2"/>
      <c r="B205" s="3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>
      <c r="A206" s="2"/>
      <c r="B206" s="3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>
      <c r="A207" s="2"/>
      <c r="B207" s="3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>
      <c r="A208" s="2"/>
      <c r="B208" s="3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>
      <c r="A209" s="2"/>
      <c r="B209" s="3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>
      <c r="A210" s="2"/>
      <c r="B210" s="3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>
      <c r="A211" s="2"/>
      <c r="B211" s="3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>
      <c r="A212" s="2"/>
      <c r="B212" s="3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>
      <c r="A213" s="2"/>
      <c r="B213" s="3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>
      <c r="A214" s="2"/>
      <c r="B214" s="3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>
      <c r="A215" s="2"/>
      <c r="B215" s="3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>
      <c r="A216" s="2"/>
      <c r="B216" s="3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>
      <c r="A217" s="2"/>
      <c r="B217" s="3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>
      <c r="A218" s="2"/>
      <c r="B218" s="3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>
      <c r="A219" s="2"/>
      <c r="B219" s="3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>
      <c r="A220" s="2"/>
      <c r="B220" s="3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>
      <c r="A221" s="2"/>
      <c r="B221" s="3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>
      <c r="A222" s="2"/>
      <c r="B222" s="3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>
      <c r="A223" s="2"/>
      <c r="B223" s="3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>
      <c r="A224" s="2"/>
      <c r="B224" s="3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>
      <c r="A225" s="2"/>
      <c r="B225" s="3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>
      <c r="A226" s="2"/>
      <c r="B226" s="3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>
      <c r="A227" s="2"/>
      <c r="B227" s="3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>
      <c r="A228" s="2"/>
      <c r="B228" s="3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>
      <c r="A229" s="2"/>
      <c r="B229" s="3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>
      <c r="A230" s="2"/>
      <c r="B230" s="3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>
      <c r="A231" s="2"/>
      <c r="B231" s="3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>
      <c r="A232" s="2"/>
      <c r="B232" s="3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>
      <c r="A233" s="2"/>
      <c r="B233" s="3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>
      <c r="A234" s="2"/>
      <c r="B234" s="3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>
      <c r="A235" s="2"/>
      <c r="B235" s="3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>
      <c r="A236" s="2"/>
      <c r="B236" s="3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>
      <c r="A237" s="2"/>
      <c r="B237" s="3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>
      <c r="A238" s="2"/>
      <c r="B238" s="3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>
      <c r="A239" s="2"/>
      <c r="B239" s="3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>
      <c r="A240" s="2"/>
      <c r="B240" s="3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>
      <c r="A241" s="2"/>
      <c r="B241" s="3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>
      <c r="A242" s="2"/>
      <c r="B242" s="3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>
      <c r="A243" s="2"/>
      <c r="B243" s="3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>
      <c r="A244" s="2"/>
      <c r="B244" s="3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>
      <c r="A245" s="2"/>
      <c r="B245" s="3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>
      <c r="A246" s="2"/>
      <c r="B246" s="3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>
      <c r="A247" s="2"/>
      <c r="B247" s="3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>
      <c r="A248" s="2"/>
      <c r="B248" s="3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>
      <c r="A249" s="2"/>
      <c r="B249" s="3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>
      <c r="A250" s="2"/>
      <c r="B250" s="3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>
      <c r="A251" s="2"/>
      <c r="B251" s="3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>
      <c r="A252" s="2"/>
      <c r="B252" s="3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>
      <c r="A253" s="2"/>
      <c r="B253" s="3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>
      <c r="A254" s="2"/>
      <c r="B254" s="3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>
      <c r="A255" s="2"/>
      <c r="B255" s="3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>
      <c r="A256" s="2"/>
      <c r="B256" s="3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>
      <c r="A257" s="2"/>
      <c r="B257" s="3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>
      <c r="A258" s="2"/>
      <c r="B258" s="3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>
      <c r="A259" s="2"/>
      <c r="B259" s="3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>
      <c r="A260" s="2"/>
      <c r="B260" s="3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>
      <c r="A261" s="2"/>
      <c r="B261" s="3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>
      <c r="A262" s="2"/>
      <c r="B262" s="3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>
      <c r="A263" s="2"/>
      <c r="B263" s="3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>
      <c r="A264" s="2"/>
      <c r="B264" s="3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>
      <c r="A265" s="2"/>
      <c r="B265" s="3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>
      <c r="A266" s="2"/>
      <c r="B266" s="3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>
      <c r="A267" s="2"/>
      <c r="B267" s="3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>
      <c r="A268" s="2"/>
      <c r="B268" s="3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>
      <c r="A269" s="2"/>
      <c r="B269" s="3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>
      <c r="A270" s="2"/>
      <c r="B270" s="3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>
      <c r="A271" s="2"/>
      <c r="B271" s="3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>
      <c r="A272" s="2"/>
      <c r="B272" s="3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>
      <c r="A273" s="2"/>
      <c r="B273" s="3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>
      <c r="A274" s="2"/>
      <c r="B274" s="3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>
      <c r="A275" s="2"/>
      <c r="B275" s="3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>
      <c r="A276" s="2"/>
      <c r="B276" s="3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>
      <c r="A277" s="2"/>
      <c r="B277" s="3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>
      <c r="A278" s="2"/>
      <c r="B278" s="3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>
      <c r="A279" s="2"/>
      <c r="B279" s="3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>
      <c r="A280" s="2"/>
      <c r="B280" s="3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>
      <c r="A281" s="2"/>
      <c r="B281" s="3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>
      <c r="A282" s="2"/>
      <c r="B282" s="3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>
      <c r="A283" s="2"/>
      <c r="B283" s="3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>
      <c r="A284" s="2"/>
      <c r="B284" s="3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>
      <c r="A285" s="2"/>
      <c r="B285" s="3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>
      <c r="A286" s="2"/>
      <c r="B286" s="3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>
      <c r="A287" s="2"/>
      <c r="B287" s="3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>
      <c r="A288" s="2"/>
      <c r="B288" s="3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>
      <c r="A289" s="2"/>
      <c r="B289" s="3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>
      <c r="A290" s="2"/>
      <c r="B290" s="3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>
      <c r="A291" s="2"/>
      <c r="B291" s="3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>
      <c r="A292" s="2"/>
      <c r="B292" s="3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>
      <c r="A293" s="2"/>
      <c r="B293" s="3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>
      <c r="A294" s="2"/>
      <c r="B294" s="3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>
      <c r="A295" s="2"/>
      <c r="B295" s="3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>
      <c r="A296" s="2"/>
      <c r="B296" s="3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>
      <c r="A297" s="2"/>
      <c r="B297" s="3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>
      <c r="A298" s="2"/>
      <c r="B298" s="3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>
      <c r="A299" s="2"/>
      <c r="B299" s="3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>
      <c r="A300" s="2"/>
      <c r="B300" s="3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</sheetData>
  <mergeCells count="5">
    <mergeCell ref="A44:B44"/>
    <mergeCell ref="A45:B45"/>
    <mergeCell ref="A1:P1"/>
    <mergeCell ref="A3:P3"/>
    <mergeCell ref="A20:P20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J446"/>
  <sheetViews>
    <sheetView zoomScale="61" zoomScaleNormal="61" workbookViewId="0">
      <selection activeCell="Q47" sqref="Q47"/>
    </sheetView>
  </sheetViews>
  <sheetFormatPr defaultRowHeight="43.5" customHeight="1"/>
  <cols>
    <col min="1" max="1" width="11.140625" style="16" customWidth="1"/>
    <col min="2" max="2" width="42.7109375" style="16" customWidth="1"/>
    <col min="3" max="3" width="14.7109375" style="16" customWidth="1"/>
    <col min="4" max="4" width="19.85546875" style="16" customWidth="1"/>
    <col min="5" max="5" width="18.5703125" style="16" customWidth="1"/>
    <col min="6" max="6" width="20.5703125" style="16" customWidth="1"/>
    <col min="7" max="7" width="21.42578125" style="16" customWidth="1"/>
    <col min="8" max="8" width="17.28515625" style="16" hidden="1" customWidth="1"/>
    <col min="9" max="10" width="9.140625" style="16"/>
    <col min="11" max="11" width="14.140625" style="16" customWidth="1"/>
    <col min="12" max="16384" width="9.140625" style="16"/>
  </cols>
  <sheetData>
    <row r="1" spans="1:218" ht="43.5" customHeight="1">
      <c r="A1" s="79" t="s">
        <v>141</v>
      </c>
      <c r="B1" s="79"/>
      <c r="C1" s="79"/>
      <c r="D1" s="79"/>
      <c r="E1" s="79"/>
      <c r="F1" s="79"/>
      <c r="G1" s="79"/>
    </row>
    <row r="2" spans="1:218" ht="22.5" customHeight="1">
      <c r="A2" s="17" t="s">
        <v>0</v>
      </c>
      <c r="B2" s="17" t="s">
        <v>49</v>
      </c>
      <c r="C2" s="17" t="s">
        <v>1</v>
      </c>
      <c r="D2" s="17" t="s">
        <v>2</v>
      </c>
      <c r="E2" s="17" t="s">
        <v>3</v>
      </c>
      <c r="F2" s="17" t="s">
        <v>4</v>
      </c>
      <c r="G2" s="17" t="s">
        <v>14</v>
      </c>
    </row>
    <row r="3" spans="1:218" ht="24" customHeight="1">
      <c r="A3" s="80" t="s">
        <v>48</v>
      </c>
      <c r="B3" s="81"/>
      <c r="C3" s="81"/>
      <c r="D3" s="81"/>
      <c r="E3" s="81"/>
      <c r="F3" s="81"/>
      <c r="G3" s="81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</row>
    <row r="4" spans="1:218" s="14" customFormat="1" ht="17.25" customHeight="1">
      <c r="A4" s="39" t="s">
        <v>87</v>
      </c>
      <c r="B4" s="48" t="s">
        <v>15</v>
      </c>
      <c r="C4" s="18" t="s">
        <v>16</v>
      </c>
      <c r="D4" s="18">
        <v>9069.5</v>
      </c>
      <c r="E4" s="18">
        <v>8164</v>
      </c>
      <c r="F4" s="18">
        <v>6297.3</v>
      </c>
      <c r="G4" s="18">
        <f>SUM(D4:F4)</f>
        <v>23530.799999999999</v>
      </c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  <c r="FR4" s="38"/>
      <c r="FS4" s="38"/>
      <c r="FT4" s="38"/>
      <c r="FU4" s="38"/>
      <c r="FV4" s="38"/>
      <c r="FW4" s="38"/>
      <c r="FX4" s="38"/>
      <c r="FY4" s="38"/>
      <c r="FZ4" s="38"/>
      <c r="GA4" s="38"/>
      <c r="GB4" s="38"/>
      <c r="GC4" s="38"/>
      <c r="GD4" s="38"/>
      <c r="GE4" s="38"/>
      <c r="GF4" s="38"/>
      <c r="GG4" s="38"/>
      <c r="GH4" s="38"/>
      <c r="GI4" s="38"/>
      <c r="GJ4" s="38"/>
      <c r="GK4" s="38"/>
      <c r="GL4" s="38"/>
      <c r="GM4" s="38"/>
      <c r="GN4" s="38"/>
      <c r="GO4" s="38"/>
      <c r="GP4" s="38"/>
      <c r="GQ4" s="38"/>
      <c r="GR4" s="38"/>
      <c r="GS4" s="38"/>
      <c r="GT4" s="38"/>
      <c r="GU4" s="38"/>
      <c r="GV4" s="38"/>
      <c r="GW4" s="38"/>
      <c r="GX4" s="38"/>
      <c r="GY4" s="38"/>
      <c r="GZ4" s="38"/>
      <c r="HA4" s="38"/>
      <c r="HB4" s="38"/>
      <c r="HC4" s="38"/>
      <c r="HD4" s="38"/>
      <c r="HE4" s="38"/>
      <c r="HF4" s="38"/>
      <c r="HG4" s="38"/>
      <c r="HH4" s="38"/>
      <c r="HI4" s="38"/>
      <c r="HJ4" s="38"/>
    </row>
    <row r="5" spans="1:218" s="14" customFormat="1" ht="19.5" customHeight="1">
      <c r="A5" s="39" t="s">
        <v>36</v>
      </c>
      <c r="B5" s="48" t="s">
        <v>17</v>
      </c>
      <c r="C5" s="18" t="s">
        <v>19</v>
      </c>
      <c r="D5" s="18">
        <v>2580.9290000000001</v>
      </c>
      <c r="E5" s="18">
        <v>2323.2220000000002</v>
      </c>
      <c r="F5" s="18">
        <v>1791.4849999999999</v>
      </c>
      <c r="G5" s="18">
        <f>SUM(D5:F5)</f>
        <v>6695.6359999999995</v>
      </c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  <c r="GS5" s="38"/>
      <c r="GT5" s="38"/>
      <c r="GU5" s="38"/>
      <c r="GV5" s="38"/>
      <c r="GW5" s="38"/>
      <c r="GX5" s="38"/>
      <c r="GY5" s="38"/>
      <c r="GZ5" s="38"/>
      <c r="HA5" s="38"/>
      <c r="HB5" s="38"/>
      <c r="HC5" s="38"/>
      <c r="HD5" s="38"/>
      <c r="HE5" s="38"/>
      <c r="HF5" s="38"/>
      <c r="HG5" s="38"/>
      <c r="HH5" s="38"/>
      <c r="HI5" s="38"/>
      <c r="HJ5" s="38"/>
    </row>
    <row r="6" spans="1:218" s="14" customFormat="1" ht="18" customHeight="1">
      <c r="A6" s="39" t="s">
        <v>37</v>
      </c>
      <c r="B6" s="48" t="s">
        <v>18</v>
      </c>
      <c r="C6" s="18" t="s">
        <v>20</v>
      </c>
      <c r="D6" s="18">
        <f>D4/D5*1000</f>
        <v>3514.0447490031688</v>
      </c>
      <c r="E6" s="18">
        <f t="shared" ref="E6:G6" si="0">E4/E5*1000</f>
        <v>3514.085179978495</v>
      </c>
      <c r="F6" s="18">
        <f t="shared" si="0"/>
        <v>3515.1285107048066</v>
      </c>
      <c r="G6" s="18">
        <f t="shared" si="0"/>
        <v>3514.3487489463291</v>
      </c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  <c r="GV6" s="38"/>
      <c r="GW6" s="38"/>
      <c r="GX6" s="38"/>
      <c r="GY6" s="38"/>
      <c r="GZ6" s="38"/>
      <c r="HA6" s="38"/>
      <c r="HB6" s="38"/>
      <c r="HC6" s="38"/>
      <c r="HD6" s="38"/>
      <c r="HE6" s="38"/>
      <c r="HF6" s="38"/>
      <c r="HG6" s="38"/>
      <c r="HH6" s="38"/>
      <c r="HI6" s="38"/>
      <c r="HJ6" s="38"/>
    </row>
    <row r="7" spans="1:218" s="14" customFormat="1" ht="18.75" customHeight="1">
      <c r="A7" s="39" t="s">
        <v>88</v>
      </c>
      <c r="B7" s="19" t="s">
        <v>26</v>
      </c>
      <c r="C7" s="18" t="s">
        <v>16</v>
      </c>
      <c r="D7" s="18">
        <v>664.1</v>
      </c>
      <c r="E7" s="18">
        <v>598.4</v>
      </c>
      <c r="F7" s="18">
        <v>463.9</v>
      </c>
      <c r="G7" s="18">
        <f>SUM(D7:F7)</f>
        <v>1726.4</v>
      </c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</row>
    <row r="8" spans="1:218" s="14" customFormat="1" ht="17.25" customHeight="1">
      <c r="A8" s="39" t="s">
        <v>91</v>
      </c>
      <c r="B8" s="19" t="s">
        <v>21</v>
      </c>
      <c r="C8" s="18" t="s">
        <v>16</v>
      </c>
      <c r="D8" s="18">
        <v>187.5</v>
      </c>
      <c r="E8" s="18">
        <v>214.9</v>
      </c>
      <c r="F8" s="18">
        <v>106.9</v>
      </c>
      <c r="G8" s="18">
        <f>SUM(D8:F8)</f>
        <v>509.29999999999995</v>
      </c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  <c r="GR8" s="38"/>
      <c r="GS8" s="38"/>
      <c r="GT8" s="38"/>
      <c r="GU8" s="38"/>
      <c r="GV8" s="38"/>
      <c r="GW8" s="38"/>
      <c r="GX8" s="38"/>
      <c r="GY8" s="38"/>
      <c r="GZ8" s="38"/>
      <c r="HA8" s="38"/>
      <c r="HB8" s="38"/>
      <c r="HC8" s="38"/>
      <c r="HD8" s="38"/>
      <c r="HE8" s="38"/>
      <c r="HF8" s="38"/>
      <c r="HG8" s="38"/>
      <c r="HH8" s="38"/>
      <c r="HI8" s="38"/>
      <c r="HJ8" s="38"/>
    </row>
    <row r="9" spans="1:218" s="14" customFormat="1" ht="20.25" customHeight="1">
      <c r="A9" s="39" t="s">
        <v>38</v>
      </c>
      <c r="B9" s="19" t="s">
        <v>17</v>
      </c>
      <c r="C9" s="18" t="s">
        <v>19</v>
      </c>
      <c r="D9" s="18">
        <v>79.03</v>
      </c>
      <c r="E9" s="18">
        <v>90.55</v>
      </c>
      <c r="F9" s="18">
        <v>45</v>
      </c>
      <c r="G9" s="18">
        <f>SUM(D9:F9)</f>
        <v>214.57999999999998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8"/>
      <c r="FN9" s="38"/>
      <c r="FO9" s="38"/>
      <c r="FP9" s="38"/>
      <c r="FQ9" s="38"/>
      <c r="FR9" s="38"/>
      <c r="FS9" s="38"/>
      <c r="FT9" s="38"/>
      <c r="FU9" s="38"/>
      <c r="FV9" s="38"/>
      <c r="FW9" s="38"/>
      <c r="FX9" s="38"/>
      <c r="FY9" s="38"/>
      <c r="FZ9" s="38"/>
      <c r="GA9" s="38"/>
      <c r="GB9" s="38"/>
      <c r="GC9" s="38"/>
      <c r="GD9" s="38"/>
      <c r="GE9" s="38"/>
      <c r="GF9" s="38"/>
      <c r="GG9" s="38"/>
      <c r="GH9" s="38"/>
      <c r="GI9" s="38"/>
      <c r="GJ9" s="38"/>
      <c r="GK9" s="38"/>
      <c r="GL9" s="38"/>
      <c r="GM9" s="38"/>
      <c r="GN9" s="38"/>
      <c r="GO9" s="38"/>
      <c r="GP9" s="38"/>
      <c r="GQ9" s="38"/>
      <c r="GR9" s="38"/>
      <c r="GS9" s="38"/>
      <c r="GT9" s="38"/>
      <c r="GU9" s="38"/>
      <c r="GV9" s="38"/>
      <c r="GW9" s="38"/>
      <c r="GX9" s="38"/>
      <c r="GY9" s="38"/>
      <c r="GZ9" s="38"/>
      <c r="HA9" s="38"/>
      <c r="HB9" s="38"/>
      <c r="HC9" s="38"/>
      <c r="HD9" s="38"/>
      <c r="HE9" s="38"/>
      <c r="HF9" s="38"/>
      <c r="HG9" s="38"/>
      <c r="HH9" s="38"/>
      <c r="HI9" s="38"/>
      <c r="HJ9" s="38"/>
    </row>
    <row r="10" spans="1:218" s="14" customFormat="1" ht="16.5" customHeight="1">
      <c r="A10" s="39" t="s">
        <v>39</v>
      </c>
      <c r="B10" s="19" t="s">
        <v>18</v>
      </c>
      <c r="C10" s="18" t="s">
        <v>20</v>
      </c>
      <c r="D10" s="18">
        <f t="shared" ref="D10:F10" si="1">D8/D9*1000</f>
        <v>2372.5167657851448</v>
      </c>
      <c r="E10" s="18">
        <f t="shared" si="1"/>
        <v>2373.2744340143568</v>
      </c>
      <c r="F10" s="18">
        <f t="shared" si="1"/>
        <v>2375.5555555555557</v>
      </c>
      <c r="G10" s="18">
        <f>G8/G9*1000</f>
        <v>2373.473762699226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8"/>
      <c r="DT10" s="38"/>
      <c r="DU10" s="38"/>
      <c r="DV10" s="38"/>
      <c r="DW10" s="38"/>
      <c r="DX10" s="38"/>
      <c r="DY10" s="38"/>
      <c r="DZ10" s="38"/>
      <c r="EA10" s="38"/>
      <c r="EB10" s="38"/>
      <c r="EC10" s="38"/>
      <c r="ED10" s="38"/>
      <c r="EE10" s="38"/>
      <c r="EF10" s="38"/>
      <c r="EG10" s="38"/>
      <c r="EH10" s="38"/>
      <c r="EI10" s="38"/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38"/>
      <c r="FC10" s="38"/>
      <c r="FD10" s="38"/>
      <c r="FE10" s="38"/>
      <c r="FF10" s="38"/>
      <c r="FG10" s="38"/>
      <c r="FH10" s="38"/>
      <c r="FI10" s="38"/>
      <c r="FJ10" s="38"/>
      <c r="FK10" s="38"/>
      <c r="FL10" s="38"/>
      <c r="FM10" s="38"/>
      <c r="FN10" s="38"/>
      <c r="FO10" s="38"/>
      <c r="FP10" s="38"/>
      <c r="FQ10" s="38"/>
      <c r="FR10" s="38"/>
      <c r="FS10" s="38"/>
      <c r="FT10" s="38"/>
      <c r="FU10" s="38"/>
      <c r="FV10" s="38"/>
      <c r="FW10" s="38"/>
      <c r="FX10" s="38"/>
      <c r="FY10" s="38"/>
      <c r="FZ10" s="38"/>
      <c r="GA10" s="38"/>
      <c r="GB10" s="38"/>
      <c r="GC10" s="38"/>
      <c r="GD10" s="38"/>
      <c r="GE10" s="38"/>
      <c r="GF10" s="38"/>
      <c r="GG10" s="38"/>
      <c r="GH10" s="38"/>
      <c r="GI10" s="38"/>
      <c r="GJ10" s="38"/>
      <c r="GK10" s="38"/>
      <c r="GL10" s="38"/>
      <c r="GM10" s="38"/>
      <c r="GN10" s="38"/>
      <c r="GO10" s="38"/>
      <c r="GP10" s="38"/>
      <c r="GQ10" s="38"/>
      <c r="GR10" s="38"/>
      <c r="GS10" s="38"/>
      <c r="GT10" s="38"/>
      <c r="GU10" s="38"/>
      <c r="GV10" s="38"/>
      <c r="GW10" s="38"/>
      <c r="GX10" s="38"/>
      <c r="GY10" s="38"/>
      <c r="GZ10" s="38"/>
      <c r="HA10" s="38"/>
      <c r="HB10" s="38"/>
      <c r="HC10" s="38"/>
      <c r="HD10" s="38"/>
      <c r="HE10" s="38"/>
      <c r="HF10" s="38"/>
      <c r="HG10" s="38"/>
      <c r="HH10" s="38"/>
      <c r="HI10" s="38"/>
      <c r="HJ10" s="38"/>
    </row>
    <row r="11" spans="1:218" s="14" customFormat="1" ht="17.25" customHeight="1">
      <c r="A11" s="39" t="s">
        <v>92</v>
      </c>
      <c r="B11" s="19" t="s">
        <v>22</v>
      </c>
      <c r="C11" s="18" t="s">
        <v>16</v>
      </c>
      <c r="D11" s="18">
        <v>2732.5</v>
      </c>
      <c r="E11" s="18">
        <v>2406.5</v>
      </c>
      <c r="F11" s="18">
        <v>2501.5</v>
      </c>
      <c r="G11" s="18">
        <f>SUM(D11:F11)</f>
        <v>7640.5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38"/>
      <c r="EE11" s="38"/>
      <c r="EF11" s="38"/>
      <c r="EG11" s="38"/>
      <c r="EH11" s="38"/>
      <c r="EI11" s="38"/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  <c r="EZ11" s="38"/>
      <c r="FA11" s="38"/>
      <c r="FB11" s="38"/>
      <c r="FC11" s="38"/>
      <c r="FD11" s="38"/>
      <c r="FE11" s="38"/>
      <c r="FF11" s="38"/>
      <c r="FG11" s="38"/>
      <c r="FH11" s="38"/>
      <c r="FI11" s="38"/>
      <c r="FJ11" s="38"/>
      <c r="FK11" s="38"/>
      <c r="FL11" s="38"/>
      <c r="FM11" s="38"/>
      <c r="FN11" s="38"/>
      <c r="FO11" s="38"/>
      <c r="FP11" s="38"/>
      <c r="FQ11" s="38"/>
      <c r="FR11" s="38"/>
      <c r="FS11" s="38"/>
      <c r="FT11" s="38"/>
      <c r="FU11" s="38"/>
      <c r="FV11" s="38"/>
      <c r="FW11" s="38"/>
      <c r="FX11" s="38"/>
      <c r="FY11" s="38"/>
      <c r="FZ11" s="38"/>
      <c r="GA11" s="38"/>
      <c r="GB11" s="38"/>
      <c r="GC11" s="38"/>
      <c r="GD11" s="38"/>
      <c r="GE11" s="38"/>
      <c r="GF11" s="38"/>
      <c r="GG11" s="38"/>
      <c r="GH11" s="38"/>
      <c r="GI11" s="38"/>
      <c r="GJ11" s="38"/>
      <c r="GK11" s="38"/>
      <c r="GL11" s="38"/>
      <c r="GM11" s="38"/>
      <c r="GN11" s="38"/>
      <c r="GO11" s="38"/>
      <c r="GP11" s="38"/>
      <c r="GQ11" s="38"/>
      <c r="GR11" s="38"/>
      <c r="GS11" s="38"/>
      <c r="GT11" s="38"/>
      <c r="GU11" s="38"/>
      <c r="GV11" s="38"/>
      <c r="GW11" s="38"/>
      <c r="GX11" s="38"/>
      <c r="GY11" s="38"/>
      <c r="GZ11" s="38"/>
      <c r="HA11" s="38"/>
      <c r="HB11" s="38"/>
      <c r="HC11" s="38"/>
      <c r="HD11" s="38"/>
      <c r="HE11" s="38"/>
      <c r="HF11" s="38"/>
      <c r="HG11" s="38"/>
      <c r="HH11" s="38"/>
      <c r="HI11" s="38"/>
      <c r="HJ11" s="38"/>
    </row>
    <row r="12" spans="1:218" ht="17.25" customHeight="1">
      <c r="A12" s="40" t="s">
        <v>40</v>
      </c>
      <c r="B12" s="20" t="s">
        <v>17</v>
      </c>
      <c r="C12" s="17" t="s">
        <v>19</v>
      </c>
      <c r="D12" s="18">
        <v>673506</v>
      </c>
      <c r="E12" s="18">
        <v>592863</v>
      </c>
      <c r="F12" s="18">
        <v>600272</v>
      </c>
      <c r="G12" s="17">
        <f>SUM(D12:F12)</f>
        <v>1866641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38"/>
      <c r="EE12" s="38"/>
      <c r="EF12" s="38"/>
      <c r="EG12" s="38"/>
      <c r="EH12" s="38"/>
      <c r="EI12" s="38"/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  <c r="EZ12" s="38"/>
      <c r="FA12" s="38"/>
      <c r="FB12" s="38"/>
      <c r="FC12" s="38"/>
      <c r="FD12" s="38"/>
      <c r="FE12" s="38"/>
      <c r="FF12" s="38"/>
      <c r="FG12" s="38"/>
      <c r="FH12" s="38"/>
      <c r="FI12" s="38"/>
      <c r="FJ12" s="38"/>
      <c r="FK12" s="38"/>
      <c r="FL12" s="38"/>
      <c r="FM12" s="38"/>
      <c r="FN12" s="38"/>
      <c r="FO12" s="38"/>
      <c r="FP12" s="38"/>
      <c r="FQ12" s="38"/>
      <c r="FR12" s="38"/>
      <c r="FS12" s="38"/>
      <c r="FT12" s="38"/>
      <c r="FU12" s="38"/>
      <c r="FV12" s="38"/>
      <c r="FW12" s="38"/>
      <c r="FX12" s="38"/>
      <c r="FY12" s="38"/>
      <c r="FZ12" s="38"/>
      <c r="GA12" s="38"/>
      <c r="GB12" s="38"/>
      <c r="GC12" s="38"/>
      <c r="GD12" s="38"/>
      <c r="GE12" s="38"/>
      <c r="GF12" s="38"/>
      <c r="GG12" s="38"/>
      <c r="GH12" s="38"/>
      <c r="GI12" s="38"/>
      <c r="GJ12" s="38"/>
      <c r="GK12" s="38"/>
      <c r="GL12" s="38"/>
      <c r="GM12" s="38"/>
      <c r="GN12" s="38"/>
      <c r="GO12" s="38"/>
      <c r="GP12" s="38"/>
      <c r="GQ12" s="38"/>
      <c r="GR12" s="38"/>
      <c r="GS12" s="38"/>
      <c r="GT12" s="38"/>
      <c r="GU12" s="38"/>
      <c r="GV12" s="38"/>
      <c r="GW12" s="38"/>
      <c r="GX12" s="38"/>
      <c r="GY12" s="38"/>
      <c r="GZ12" s="38"/>
      <c r="HA12" s="38"/>
      <c r="HB12" s="38"/>
      <c r="HC12" s="38"/>
      <c r="HD12" s="38"/>
      <c r="HE12" s="38"/>
      <c r="HF12" s="38"/>
      <c r="HG12" s="38"/>
      <c r="HH12" s="38"/>
      <c r="HI12" s="38"/>
      <c r="HJ12" s="38"/>
    </row>
    <row r="13" spans="1:218" ht="18" customHeight="1">
      <c r="A13" s="40" t="s">
        <v>41</v>
      </c>
      <c r="B13" s="20" t="s">
        <v>18</v>
      </c>
      <c r="C13" s="17" t="s">
        <v>20</v>
      </c>
      <c r="D13" s="18">
        <f>(D11*1000)/D12</f>
        <v>4.0571279246213097</v>
      </c>
      <c r="E13" s="18">
        <f t="shared" ref="E13:F13" si="2">(E11*1000)/E12</f>
        <v>4.0591165243909639</v>
      </c>
      <c r="F13" s="18">
        <f t="shared" si="2"/>
        <v>4.1672775008662741</v>
      </c>
      <c r="G13" s="17">
        <f>SUM(D13:F13)/12</f>
        <v>1.0236268291565456</v>
      </c>
    </row>
    <row r="14" spans="1:218" ht="17.25" customHeight="1">
      <c r="A14" s="40" t="s">
        <v>93</v>
      </c>
      <c r="B14" s="20" t="s">
        <v>23</v>
      </c>
      <c r="C14" s="17" t="s">
        <v>16</v>
      </c>
      <c r="D14" s="18">
        <v>1506.48</v>
      </c>
      <c r="E14" s="18">
        <f t="shared" ref="E14:F14" si="3">E15+E18</f>
        <v>1541.6999999999998</v>
      </c>
      <c r="F14" s="18">
        <f t="shared" si="3"/>
        <v>1515.7</v>
      </c>
      <c r="G14" s="17">
        <f>SUM(D14:F14)</f>
        <v>4563.88</v>
      </c>
    </row>
    <row r="15" spans="1:218" s="14" customFormat="1" ht="30.75" customHeight="1">
      <c r="A15" s="39" t="s">
        <v>42</v>
      </c>
      <c r="B15" s="19" t="s">
        <v>131</v>
      </c>
      <c r="C15" s="18" t="s">
        <v>16</v>
      </c>
      <c r="D15" s="18">
        <v>1193.78</v>
      </c>
      <c r="E15" s="18">
        <v>1199.5999999999999</v>
      </c>
      <c r="F15" s="18">
        <v>1287.8</v>
      </c>
      <c r="G15" s="18">
        <f>SUM(D15:F15)</f>
        <v>3681.1800000000003</v>
      </c>
    </row>
    <row r="16" spans="1:218" ht="21" customHeight="1">
      <c r="A16" s="40" t="s">
        <v>43</v>
      </c>
      <c r="B16" s="20" t="s">
        <v>28</v>
      </c>
      <c r="C16" s="17" t="s">
        <v>30</v>
      </c>
      <c r="D16" s="18">
        <v>19938.900000000001</v>
      </c>
      <c r="E16" s="18">
        <f t="shared" ref="E16:F16" si="4">E15/E17*1000</f>
        <v>16661.111111111113</v>
      </c>
      <c r="F16" s="18">
        <f t="shared" si="4"/>
        <v>17641.095890410958</v>
      </c>
      <c r="G16" s="17">
        <f>SUM(D16:F16)/12</f>
        <v>4520.0922501268396</v>
      </c>
    </row>
    <row r="17" spans="1:11" ht="18.75" customHeight="1">
      <c r="A17" s="40" t="s">
        <v>44</v>
      </c>
      <c r="B17" s="20" t="s">
        <v>29</v>
      </c>
      <c r="C17" s="17" t="s">
        <v>31</v>
      </c>
      <c r="D17" s="18">
        <v>72</v>
      </c>
      <c r="E17" s="18">
        <v>72</v>
      </c>
      <c r="F17" s="18">
        <v>73</v>
      </c>
      <c r="G17" s="17">
        <f>SUM(D17:F17)/12</f>
        <v>18.083333333333332</v>
      </c>
      <c r="I17" s="16" t="s">
        <v>127</v>
      </c>
    </row>
    <row r="18" spans="1:11" ht="18.75" customHeight="1">
      <c r="A18" s="40" t="s">
        <v>45</v>
      </c>
      <c r="B18" s="20" t="s">
        <v>32</v>
      </c>
      <c r="C18" s="17" t="s">
        <v>16</v>
      </c>
      <c r="D18" s="18">
        <v>312.7</v>
      </c>
      <c r="E18" s="18">
        <v>342.1</v>
      </c>
      <c r="F18" s="18">
        <v>227.9</v>
      </c>
      <c r="G18" s="17"/>
    </row>
    <row r="19" spans="1:11" ht="17.25" customHeight="1">
      <c r="A19" s="40" t="s">
        <v>46</v>
      </c>
      <c r="B19" s="20" t="s">
        <v>33</v>
      </c>
      <c r="C19" s="17" t="s">
        <v>30</v>
      </c>
      <c r="D19" s="18">
        <v>28428.57</v>
      </c>
      <c r="E19" s="18">
        <f t="shared" ref="E19:F19" si="5">E18/E20*1000</f>
        <v>28508.333333333336</v>
      </c>
      <c r="F19" s="18">
        <f t="shared" si="5"/>
        <v>25322.222222222223</v>
      </c>
      <c r="G19" s="17">
        <f>SUM(D19:F19)/12</f>
        <v>6854.9271296296292</v>
      </c>
    </row>
    <row r="20" spans="1:11" ht="18" customHeight="1">
      <c r="A20" s="40" t="s">
        <v>47</v>
      </c>
      <c r="B20" s="20" t="s">
        <v>34</v>
      </c>
      <c r="C20" s="17" t="s">
        <v>31</v>
      </c>
      <c r="D20" s="58">
        <v>11</v>
      </c>
      <c r="E20" s="18">
        <v>12</v>
      </c>
      <c r="F20" s="18">
        <v>9</v>
      </c>
      <c r="G20" s="17">
        <f>SUM(D20:F20)/12</f>
        <v>2.6666666666666665</v>
      </c>
    </row>
    <row r="21" spans="1:11" ht="20.25" customHeight="1">
      <c r="A21" s="41" t="s">
        <v>94</v>
      </c>
      <c r="B21" s="59" t="s">
        <v>24</v>
      </c>
      <c r="C21" s="31" t="s">
        <v>16</v>
      </c>
      <c r="D21" s="60">
        <f>(D15+D18)*0.3</f>
        <v>451.94400000000002</v>
      </c>
      <c r="E21" s="60">
        <f t="shared" ref="E21:F21" si="6">(E15+E18)*0.3</f>
        <v>462.50999999999993</v>
      </c>
      <c r="F21" s="60">
        <f t="shared" si="6"/>
        <v>454.71</v>
      </c>
      <c r="G21" s="31">
        <f>SUM(D21:F21)</f>
        <v>1369.164</v>
      </c>
    </row>
    <row r="22" spans="1:11" ht="20.25" customHeight="1">
      <c r="A22" s="40" t="s">
        <v>95</v>
      </c>
      <c r="B22" s="20" t="s">
        <v>25</v>
      </c>
      <c r="C22" s="17" t="s">
        <v>16</v>
      </c>
      <c r="D22" s="18">
        <v>0</v>
      </c>
      <c r="E22" s="18">
        <v>0</v>
      </c>
      <c r="F22" s="18">
        <v>0</v>
      </c>
      <c r="G22" s="17">
        <f>SUM(D22:F22)</f>
        <v>0</v>
      </c>
    </row>
    <row r="23" spans="1:11" ht="20.25" customHeight="1">
      <c r="A23" s="40" t="s">
        <v>96</v>
      </c>
      <c r="B23" s="20" t="s">
        <v>35</v>
      </c>
      <c r="C23" s="17" t="s">
        <v>16</v>
      </c>
      <c r="D23" s="18">
        <v>0</v>
      </c>
      <c r="E23" s="18">
        <v>0</v>
      </c>
      <c r="F23" s="18">
        <v>0</v>
      </c>
      <c r="G23" s="17">
        <f>SUM(D23:F23)</f>
        <v>0</v>
      </c>
    </row>
    <row r="24" spans="1:11" ht="32.25" customHeight="1">
      <c r="A24" s="41" t="s">
        <v>97</v>
      </c>
      <c r="B24" s="59" t="s">
        <v>83</v>
      </c>
      <c r="C24" s="31" t="s">
        <v>16</v>
      </c>
      <c r="D24" s="61">
        <v>712.58</v>
      </c>
      <c r="E24" s="61">
        <v>280.79000000000002</v>
      </c>
      <c r="F24" s="61">
        <v>610.39</v>
      </c>
      <c r="G24" s="62">
        <f>SUM(D24:F24)</f>
        <v>1603.7600000000002</v>
      </c>
    </row>
    <row r="25" spans="1:11" ht="18.75" customHeight="1">
      <c r="A25" s="40" t="s">
        <v>81</v>
      </c>
      <c r="B25" s="20" t="s">
        <v>129</v>
      </c>
      <c r="C25" s="17" t="s">
        <v>16</v>
      </c>
      <c r="D25" s="18">
        <v>36.799999999999997</v>
      </c>
      <c r="E25" s="18">
        <v>40.700000000000003</v>
      </c>
      <c r="F25" s="18">
        <v>20.399999999999999</v>
      </c>
      <c r="G25" s="17">
        <f>SUM(D25:F25)</f>
        <v>97.9</v>
      </c>
    </row>
    <row r="26" spans="1:11" ht="18" customHeight="1">
      <c r="A26" s="63" t="s">
        <v>107</v>
      </c>
      <c r="B26" s="64" t="s">
        <v>134</v>
      </c>
      <c r="C26" s="60" t="s">
        <v>16</v>
      </c>
      <c r="D26" s="60">
        <f t="shared" ref="D26:F26" si="7">D4+D7+D8+D11+D14+D21+D22+D24</f>
        <v>15324.603999999999</v>
      </c>
      <c r="E26" s="60">
        <f t="shared" si="7"/>
        <v>13668.800000000001</v>
      </c>
      <c r="F26" s="60">
        <f t="shared" si="7"/>
        <v>11950.399999999998</v>
      </c>
      <c r="G26" s="60">
        <f>G4+G7+G8+G11+G14+G21+G22+G24</f>
        <v>40943.803999999996</v>
      </c>
      <c r="H26" s="32"/>
    </row>
    <row r="27" spans="1:11" ht="18.75" customHeight="1">
      <c r="A27" s="42" t="s">
        <v>96</v>
      </c>
      <c r="B27" s="5" t="s">
        <v>35</v>
      </c>
      <c r="C27" s="4" t="s">
        <v>16</v>
      </c>
      <c r="D27" s="13">
        <v>0</v>
      </c>
      <c r="E27" s="13">
        <v>0</v>
      </c>
      <c r="F27" s="13">
        <v>0</v>
      </c>
      <c r="G27" s="6">
        <f>SUM(D27:F27)</f>
        <v>0</v>
      </c>
    </row>
    <row r="28" spans="1:11" ht="25.5" customHeight="1">
      <c r="A28" s="82" t="s">
        <v>50</v>
      </c>
      <c r="B28" s="83"/>
      <c r="C28" s="83"/>
      <c r="D28" s="83"/>
      <c r="E28" s="83"/>
      <c r="F28" s="83"/>
      <c r="G28" s="83"/>
    </row>
    <row r="29" spans="1:11" ht="20.25" customHeight="1">
      <c r="A29" s="4">
        <v>11</v>
      </c>
      <c r="B29" s="28" t="s">
        <v>146</v>
      </c>
      <c r="C29" s="29" t="s">
        <v>16</v>
      </c>
      <c r="D29" s="10">
        <f>11267.4</f>
        <v>11267.4</v>
      </c>
      <c r="E29" s="10">
        <f>14490.5</f>
        <v>14490.5</v>
      </c>
      <c r="F29" s="10">
        <f>11534.2</f>
        <v>11534.2</v>
      </c>
      <c r="G29" s="10">
        <f>D29+E29+F29</f>
        <v>37292.100000000006</v>
      </c>
      <c r="K29" s="33"/>
    </row>
    <row r="30" spans="1:11" ht="33.75" customHeight="1">
      <c r="A30" s="4">
        <v>11</v>
      </c>
      <c r="B30" s="50" t="s">
        <v>142</v>
      </c>
      <c r="C30" s="46" t="s">
        <v>16</v>
      </c>
      <c r="D30" s="47">
        <v>11267.4</v>
      </c>
      <c r="E30" s="47">
        <v>14490.5</v>
      </c>
      <c r="F30" s="47">
        <v>11534.2</v>
      </c>
      <c r="G30" s="47">
        <f>D30+E30+F30</f>
        <v>37292.100000000006</v>
      </c>
      <c r="K30" s="33"/>
    </row>
    <row r="31" spans="1:11" ht="18.75" customHeight="1">
      <c r="A31" s="4" t="s">
        <v>52</v>
      </c>
      <c r="B31" s="5" t="s">
        <v>53</v>
      </c>
      <c r="C31" s="34" t="s">
        <v>16</v>
      </c>
      <c r="D31" s="6">
        <v>151.19</v>
      </c>
      <c r="E31" s="6">
        <v>120.34</v>
      </c>
      <c r="F31" s="6">
        <v>119.43</v>
      </c>
      <c r="G31" s="47">
        <f t="shared" ref="G31:G38" si="8">D31+E31+F31</f>
        <v>390.96</v>
      </c>
    </row>
    <row r="32" spans="1:11" ht="21" customHeight="1">
      <c r="A32" s="4" t="s">
        <v>54</v>
      </c>
      <c r="B32" s="5" t="s">
        <v>55</v>
      </c>
      <c r="C32" s="34" t="s">
        <v>16</v>
      </c>
      <c r="D32" s="6">
        <v>1195.51</v>
      </c>
      <c r="E32" s="6">
        <v>874.14</v>
      </c>
      <c r="F32" s="6">
        <v>903.75</v>
      </c>
      <c r="G32" s="47">
        <f t="shared" si="8"/>
        <v>2973.4</v>
      </c>
    </row>
    <row r="33" spans="1:7" ht="18" customHeight="1">
      <c r="A33" s="4" t="s">
        <v>56</v>
      </c>
      <c r="B33" s="5" t="s">
        <v>57</v>
      </c>
      <c r="C33" s="34" t="s">
        <v>16</v>
      </c>
      <c r="D33" s="6">
        <v>1871.85</v>
      </c>
      <c r="E33" s="6">
        <v>1514.4</v>
      </c>
      <c r="F33" s="6">
        <v>1005.69</v>
      </c>
      <c r="G33" s="47">
        <f t="shared" si="8"/>
        <v>4391.9400000000005</v>
      </c>
    </row>
    <row r="34" spans="1:7" ht="18.75" customHeight="1">
      <c r="A34" s="4" t="s">
        <v>58</v>
      </c>
      <c r="B34" s="5" t="s">
        <v>59</v>
      </c>
      <c r="C34" s="34" t="s">
        <v>16</v>
      </c>
      <c r="D34" s="6"/>
      <c r="E34" s="6"/>
      <c r="F34" s="6"/>
      <c r="G34" s="47">
        <f t="shared" si="8"/>
        <v>0</v>
      </c>
    </row>
    <row r="35" spans="1:7" ht="18.75" customHeight="1">
      <c r="A35" s="4" t="s">
        <v>60</v>
      </c>
      <c r="B35" s="5" t="s">
        <v>61</v>
      </c>
      <c r="C35" s="34" t="s">
        <v>16</v>
      </c>
      <c r="D35" s="6"/>
      <c r="E35" s="6"/>
      <c r="F35" s="6"/>
      <c r="G35" s="47">
        <f t="shared" si="8"/>
        <v>0</v>
      </c>
    </row>
    <row r="36" spans="1:7" ht="21" customHeight="1">
      <c r="A36" s="4" t="s">
        <v>62</v>
      </c>
      <c r="B36" s="5" t="s">
        <v>63</v>
      </c>
      <c r="C36" s="34" t="s">
        <v>16</v>
      </c>
      <c r="D36" s="6"/>
      <c r="E36" s="6"/>
      <c r="F36" s="6"/>
      <c r="G36" s="47">
        <f t="shared" si="8"/>
        <v>0</v>
      </c>
    </row>
    <row r="37" spans="1:7" ht="19.5" customHeight="1">
      <c r="A37" s="4" t="s">
        <v>64</v>
      </c>
      <c r="B37" s="5" t="s">
        <v>65</v>
      </c>
      <c r="C37" s="34" t="s">
        <v>16</v>
      </c>
      <c r="D37" s="6"/>
      <c r="E37" s="6"/>
      <c r="F37" s="6"/>
      <c r="G37" s="47">
        <f t="shared" si="8"/>
        <v>0</v>
      </c>
    </row>
    <row r="38" spans="1:7" ht="18.75" customHeight="1">
      <c r="A38" s="4" t="s">
        <v>66</v>
      </c>
      <c r="B38" s="5" t="s">
        <v>67</v>
      </c>
      <c r="C38" s="34" t="s">
        <v>16</v>
      </c>
      <c r="D38" s="6">
        <v>8647.64</v>
      </c>
      <c r="E38" s="6">
        <v>13220.67</v>
      </c>
      <c r="F38" s="6">
        <v>10442.26</v>
      </c>
      <c r="G38" s="47">
        <f t="shared" si="8"/>
        <v>32310.57</v>
      </c>
    </row>
    <row r="39" spans="1:7" ht="18" customHeight="1">
      <c r="A39" s="4" t="s">
        <v>145</v>
      </c>
      <c r="B39" s="5" t="s">
        <v>70</v>
      </c>
      <c r="C39" s="34" t="s">
        <v>16</v>
      </c>
      <c r="D39" s="6">
        <f>D29-SUM(D31:D38)</f>
        <v>-598.78999999999905</v>
      </c>
      <c r="E39" s="6">
        <f>E29-SUM(E31:E38)</f>
        <v>-1239.0499999999993</v>
      </c>
      <c r="F39" s="6">
        <f>F29-SUM(F31:F38)</f>
        <v>-936.93000000000029</v>
      </c>
      <c r="G39" s="6">
        <f>G29-SUM(G31:G38)</f>
        <v>-2774.7699999999968</v>
      </c>
    </row>
    <row r="40" spans="1:7" ht="22.5" customHeight="1">
      <c r="A40" s="4">
        <v>12</v>
      </c>
      <c r="B40" s="65" t="s">
        <v>147</v>
      </c>
      <c r="C40" s="29" t="s">
        <v>16</v>
      </c>
      <c r="D40" s="10">
        <f>SUM(D41:D50)</f>
        <v>9185.0932203389839</v>
      </c>
      <c r="E40" s="10">
        <f t="shared" ref="E40:F40" si="9">SUM(E41:E50)</f>
        <v>7969.593220338983</v>
      </c>
      <c r="F40" s="10">
        <f t="shared" si="9"/>
        <v>12765.245762711866</v>
      </c>
      <c r="G40" s="10">
        <f>SUM(D40:F40)</f>
        <v>29919.932203389835</v>
      </c>
    </row>
    <row r="41" spans="1:7" ht="18" customHeight="1">
      <c r="A41" s="4" t="s">
        <v>71</v>
      </c>
      <c r="B41" s="5" t="s">
        <v>53</v>
      </c>
      <c r="C41" s="34" t="s">
        <v>16</v>
      </c>
      <c r="D41" s="6">
        <v>0</v>
      </c>
      <c r="E41" s="6">
        <f>184.5/1.18</f>
        <v>156.35593220338984</v>
      </c>
      <c r="F41" s="6">
        <f>56.53/1.18</f>
        <v>47.906779661016955</v>
      </c>
      <c r="G41" s="13">
        <f t="shared" ref="G41:G50" si="10">SUM(D41:F41)</f>
        <v>204.26271186440681</v>
      </c>
    </row>
    <row r="42" spans="1:7" ht="19.5" customHeight="1">
      <c r="A42" s="4" t="s">
        <v>72</v>
      </c>
      <c r="B42" s="5" t="s">
        <v>55</v>
      </c>
      <c r="C42" s="34" t="s">
        <v>16</v>
      </c>
      <c r="D42" s="6">
        <f>653.82/1.18</f>
        <v>554.08474576271192</v>
      </c>
      <c r="E42" s="6">
        <f>154.05/1.18</f>
        <v>130.55084745762713</v>
      </c>
      <c r="F42" s="6">
        <f>989.87/1.18</f>
        <v>838.87288135593224</v>
      </c>
      <c r="G42" s="13">
        <f t="shared" si="10"/>
        <v>1523.5084745762713</v>
      </c>
    </row>
    <row r="43" spans="1:7" ht="19.5" customHeight="1">
      <c r="A43" s="4" t="s">
        <v>73</v>
      </c>
      <c r="B43" s="5" t="s">
        <v>57</v>
      </c>
      <c r="C43" s="34" t="s">
        <v>16</v>
      </c>
      <c r="D43" s="6">
        <f>3.72/1.18</f>
        <v>3.1525423728813564</v>
      </c>
      <c r="E43" s="6">
        <f>1208.06/1.18</f>
        <v>1023.7796610169491</v>
      </c>
      <c r="F43" s="6">
        <f>1691.88/1.18</f>
        <v>1433.7966101694917</v>
      </c>
      <c r="G43" s="13">
        <f t="shared" si="10"/>
        <v>2460.7288135593221</v>
      </c>
    </row>
    <row r="44" spans="1:7" ht="18.75" customHeight="1">
      <c r="A44" s="4" t="s">
        <v>74</v>
      </c>
      <c r="B44" s="5" t="s">
        <v>59</v>
      </c>
      <c r="C44" s="34" t="s">
        <v>16</v>
      </c>
      <c r="D44" s="6"/>
      <c r="E44" s="6"/>
      <c r="F44" s="6"/>
      <c r="G44" s="13">
        <f t="shared" si="10"/>
        <v>0</v>
      </c>
    </row>
    <row r="45" spans="1:7" ht="19.5" customHeight="1">
      <c r="A45" s="4" t="s">
        <v>75</v>
      </c>
      <c r="B45" s="5" t="s">
        <v>61</v>
      </c>
      <c r="C45" s="34" t="s">
        <v>16</v>
      </c>
      <c r="D45" s="6"/>
      <c r="E45" s="6"/>
      <c r="F45" s="6">
        <f>78.3/1.18</f>
        <v>66.355932203389827</v>
      </c>
      <c r="G45" s="13">
        <f t="shared" si="10"/>
        <v>66.355932203389827</v>
      </c>
    </row>
    <row r="46" spans="1:7" ht="20.25" customHeight="1">
      <c r="A46" s="4" t="s">
        <v>76</v>
      </c>
      <c r="B46" s="5" t="s">
        <v>63</v>
      </c>
      <c r="C46" s="34" t="s">
        <v>16</v>
      </c>
      <c r="D46" s="6"/>
      <c r="E46" s="6"/>
      <c r="F46" s="6"/>
      <c r="G46" s="13">
        <f t="shared" si="10"/>
        <v>0</v>
      </c>
    </row>
    <row r="47" spans="1:7" ht="21" customHeight="1">
      <c r="A47" s="4" t="s">
        <v>77</v>
      </c>
      <c r="B47" s="5" t="s">
        <v>65</v>
      </c>
      <c r="C47" s="34" t="s">
        <v>16</v>
      </c>
      <c r="D47" s="6">
        <f>1989.35/1.18</f>
        <v>1685.8898305084747</v>
      </c>
      <c r="E47" s="6">
        <f>1784.28/1.18</f>
        <v>1512.1016949152543</v>
      </c>
      <c r="F47" s="6">
        <f>1871.51/1.18</f>
        <v>1586.0254237288136</v>
      </c>
      <c r="G47" s="13">
        <f t="shared" si="10"/>
        <v>4784.016949152543</v>
      </c>
    </row>
    <row r="48" spans="1:7" ht="15.75" customHeight="1">
      <c r="A48" s="4" t="s">
        <v>78</v>
      </c>
      <c r="B48" s="5" t="s">
        <v>67</v>
      </c>
      <c r="C48" s="34" t="s">
        <v>16</v>
      </c>
      <c r="D48" s="6">
        <f>7296.97/1.18</f>
        <v>6183.8728813559328</v>
      </c>
      <c r="E48" s="6">
        <f>4987.04/1.18</f>
        <v>4226.3050847457625</v>
      </c>
      <c r="F48" s="6">
        <f>9198.95/1.18</f>
        <v>7795.720338983052</v>
      </c>
      <c r="G48" s="13">
        <f t="shared" si="10"/>
        <v>18205.898305084746</v>
      </c>
    </row>
    <row r="49" spans="1:7" ht="18" customHeight="1">
      <c r="A49" s="4" t="s">
        <v>79</v>
      </c>
      <c r="B49" s="5" t="s">
        <v>68</v>
      </c>
      <c r="C49" s="34" t="s">
        <v>16</v>
      </c>
      <c r="D49" s="6"/>
      <c r="E49" s="6"/>
      <c r="F49" s="6"/>
      <c r="G49" s="13">
        <f t="shared" si="10"/>
        <v>0</v>
      </c>
    </row>
    <row r="50" spans="1:7" ht="17.25" customHeight="1">
      <c r="A50" s="4" t="s">
        <v>80</v>
      </c>
      <c r="B50" s="5" t="s">
        <v>70</v>
      </c>
      <c r="C50" s="34" t="s">
        <v>16</v>
      </c>
      <c r="D50" s="6">
        <f>894.55/1.18</f>
        <v>758.09322033898309</v>
      </c>
      <c r="E50" s="6">
        <f>1086.19/1.18</f>
        <v>920.50000000000011</v>
      </c>
      <c r="F50" s="6">
        <f>1175.95/1.18</f>
        <v>996.56779661016958</v>
      </c>
      <c r="G50" s="13">
        <f t="shared" si="10"/>
        <v>2675.1610169491528</v>
      </c>
    </row>
    <row r="51" spans="1:7" ht="37.5" customHeight="1">
      <c r="A51" s="4">
        <v>13</v>
      </c>
      <c r="B51" s="5" t="s">
        <v>157</v>
      </c>
      <c r="C51" s="4" t="s">
        <v>16</v>
      </c>
      <c r="D51" s="6">
        <f>D40-D29</f>
        <v>-2082.3067796610158</v>
      </c>
      <c r="E51" s="6">
        <f t="shared" ref="E51:G51" si="11">E40-E29</f>
        <v>-6520.906779661017</v>
      </c>
      <c r="F51" s="6">
        <f t="shared" si="11"/>
        <v>1231.0457627118649</v>
      </c>
      <c r="G51" s="6">
        <f t="shared" si="11"/>
        <v>-7372.1677966101706</v>
      </c>
    </row>
    <row r="52" spans="1:7" ht="37.5" customHeight="1">
      <c r="A52" s="72" t="s">
        <v>155</v>
      </c>
      <c r="B52" s="73"/>
      <c r="C52" s="51" t="s">
        <v>16</v>
      </c>
      <c r="D52" s="52">
        <f>D30-D26</f>
        <v>-4057.2039999999997</v>
      </c>
      <c r="E52" s="52">
        <f t="shared" ref="E52:G52" si="12">E30-E26</f>
        <v>821.69999999999891</v>
      </c>
      <c r="F52" s="52">
        <f t="shared" si="12"/>
        <v>-416.19999999999709</v>
      </c>
      <c r="G52" s="52">
        <f t="shared" si="12"/>
        <v>-3651.7039999999906</v>
      </c>
    </row>
    <row r="53" spans="1:7" ht="36" customHeight="1">
      <c r="A53" s="74" t="s">
        <v>156</v>
      </c>
      <c r="B53" s="75"/>
      <c r="C53" s="4" t="s">
        <v>16</v>
      </c>
      <c r="D53" s="6">
        <f>D40-D26</f>
        <v>-6139.5107796610155</v>
      </c>
      <c r="E53" s="6">
        <f t="shared" ref="E53:G53" si="13">E40-E26</f>
        <v>-5699.2067796610181</v>
      </c>
      <c r="F53" s="6">
        <f t="shared" si="13"/>
        <v>814.84576271186779</v>
      </c>
      <c r="G53" s="6">
        <f t="shared" si="13"/>
        <v>-11023.871796610161</v>
      </c>
    </row>
    <row r="54" spans="1:7" ht="43.5" customHeight="1">
      <c r="A54" s="2"/>
      <c r="B54" s="3"/>
      <c r="C54" s="2"/>
      <c r="D54" s="2"/>
      <c r="E54" s="2"/>
      <c r="F54" s="2"/>
      <c r="G54" s="2"/>
    </row>
    <row r="55" spans="1:7" ht="43.5" customHeight="1">
      <c r="A55" s="2"/>
      <c r="B55" s="3"/>
      <c r="C55" s="2"/>
      <c r="D55" s="2"/>
      <c r="E55" s="2"/>
      <c r="F55" s="2"/>
      <c r="G55" s="2"/>
    </row>
    <row r="56" spans="1:7" ht="43.5" customHeight="1">
      <c r="A56" s="2"/>
      <c r="B56" s="3"/>
      <c r="C56" s="2"/>
      <c r="D56" s="2"/>
      <c r="E56" s="2"/>
      <c r="F56" s="2"/>
      <c r="G56" s="2"/>
    </row>
    <row r="57" spans="1:7" ht="43.5" customHeight="1">
      <c r="A57" s="2"/>
      <c r="B57" s="3"/>
      <c r="C57" s="2"/>
      <c r="D57" s="2"/>
      <c r="E57" s="2"/>
      <c r="F57" s="2"/>
      <c r="G57" s="2"/>
    </row>
    <row r="58" spans="1:7" ht="43.5" customHeight="1">
      <c r="A58" s="2"/>
      <c r="B58" s="3"/>
      <c r="C58" s="2"/>
      <c r="D58" s="2"/>
      <c r="E58" s="2"/>
      <c r="F58" s="2"/>
      <c r="G58" s="2"/>
    </row>
    <row r="59" spans="1:7" ht="43.5" customHeight="1">
      <c r="A59" s="2"/>
      <c r="B59" s="3"/>
      <c r="C59" s="2"/>
      <c r="D59" s="2"/>
      <c r="E59" s="2"/>
      <c r="F59" s="2"/>
      <c r="G59" s="2"/>
    </row>
    <row r="60" spans="1:7" ht="43.5" customHeight="1">
      <c r="A60" s="2"/>
      <c r="B60" s="3"/>
      <c r="C60" s="2"/>
      <c r="D60" s="2"/>
      <c r="E60" s="2"/>
      <c r="F60" s="2"/>
      <c r="G60" s="2"/>
    </row>
    <row r="61" spans="1:7" ht="43.5" customHeight="1">
      <c r="A61" s="2"/>
      <c r="B61" s="3"/>
      <c r="C61" s="2"/>
      <c r="D61" s="2"/>
      <c r="E61" s="2"/>
      <c r="F61" s="2"/>
      <c r="G61" s="2"/>
    </row>
    <row r="62" spans="1:7" ht="43.5" customHeight="1">
      <c r="A62" s="2"/>
      <c r="B62" s="3"/>
      <c r="C62" s="2"/>
      <c r="D62" s="2"/>
      <c r="E62" s="2"/>
      <c r="F62" s="2"/>
      <c r="G62" s="2"/>
    </row>
    <row r="63" spans="1:7" ht="43.5" customHeight="1">
      <c r="A63" s="2"/>
      <c r="B63" s="3"/>
      <c r="C63" s="2"/>
      <c r="D63" s="2"/>
      <c r="E63" s="2"/>
      <c r="F63" s="2"/>
      <c r="G63" s="2"/>
    </row>
    <row r="64" spans="1:7" ht="43.5" customHeight="1">
      <c r="A64" s="2"/>
      <c r="B64" s="3"/>
      <c r="C64" s="2"/>
      <c r="D64" s="2"/>
      <c r="E64" s="2"/>
      <c r="F64" s="2"/>
      <c r="G64" s="2"/>
    </row>
    <row r="65" spans="1:7" ht="43.5" customHeight="1">
      <c r="A65" s="2"/>
      <c r="B65" s="3"/>
      <c r="C65" s="2"/>
      <c r="D65" s="2"/>
      <c r="E65" s="2"/>
      <c r="F65" s="2"/>
      <c r="G65" s="2"/>
    </row>
    <row r="66" spans="1:7" ht="43.5" customHeight="1">
      <c r="A66" s="2"/>
      <c r="B66" s="3"/>
      <c r="C66" s="2"/>
      <c r="D66" s="2"/>
      <c r="E66" s="2"/>
      <c r="F66" s="2"/>
      <c r="G66" s="2"/>
    </row>
    <row r="67" spans="1:7" ht="43.5" customHeight="1">
      <c r="A67" s="2"/>
      <c r="B67" s="3"/>
      <c r="C67" s="2"/>
      <c r="D67" s="2"/>
      <c r="E67" s="2"/>
      <c r="F67" s="2"/>
      <c r="G67" s="2"/>
    </row>
    <row r="68" spans="1:7" ht="43.5" customHeight="1">
      <c r="A68" s="2"/>
      <c r="B68" s="3"/>
      <c r="C68" s="2"/>
      <c r="D68" s="2"/>
      <c r="E68" s="2"/>
      <c r="F68" s="2"/>
      <c r="G68" s="2"/>
    </row>
    <row r="69" spans="1:7" ht="43.5" customHeight="1">
      <c r="A69" s="2"/>
      <c r="B69" s="3"/>
      <c r="C69" s="2"/>
      <c r="D69" s="2"/>
      <c r="E69" s="2"/>
      <c r="F69" s="2"/>
      <c r="G69" s="2"/>
    </row>
    <row r="70" spans="1:7" ht="43.5" customHeight="1">
      <c r="A70" s="2"/>
      <c r="B70" s="3"/>
      <c r="C70" s="2"/>
      <c r="D70" s="2"/>
      <c r="E70" s="2"/>
      <c r="F70" s="2"/>
      <c r="G70" s="2"/>
    </row>
    <row r="71" spans="1:7" ht="43.5" customHeight="1">
      <c r="A71" s="2"/>
      <c r="B71" s="3"/>
      <c r="C71" s="2"/>
      <c r="D71" s="2"/>
      <c r="E71" s="2"/>
      <c r="F71" s="2"/>
      <c r="G71" s="2"/>
    </row>
    <row r="72" spans="1:7" ht="43.5" customHeight="1">
      <c r="A72" s="2"/>
      <c r="B72" s="3"/>
      <c r="C72" s="2"/>
      <c r="D72" s="2"/>
      <c r="E72" s="2"/>
      <c r="F72" s="2"/>
      <c r="G72" s="2"/>
    </row>
    <row r="73" spans="1:7" ht="43.5" customHeight="1">
      <c r="A73" s="2"/>
      <c r="B73" s="3"/>
      <c r="C73" s="2"/>
      <c r="D73" s="2"/>
      <c r="E73" s="2"/>
      <c r="F73" s="2"/>
      <c r="G73" s="2"/>
    </row>
    <row r="74" spans="1:7" ht="43.5" customHeight="1">
      <c r="A74" s="2"/>
      <c r="B74" s="3"/>
      <c r="C74" s="2"/>
      <c r="D74" s="2"/>
      <c r="E74" s="2"/>
      <c r="F74" s="2"/>
      <c r="G74" s="2"/>
    </row>
    <row r="75" spans="1:7" ht="43.5" customHeight="1">
      <c r="A75" s="2"/>
      <c r="B75" s="3"/>
      <c r="C75" s="2"/>
      <c r="D75" s="2"/>
      <c r="E75" s="2"/>
      <c r="F75" s="2"/>
      <c r="G75" s="2"/>
    </row>
    <row r="76" spans="1:7" ht="43.5" customHeight="1">
      <c r="A76" s="2"/>
      <c r="B76" s="3"/>
      <c r="C76" s="2"/>
      <c r="D76" s="2"/>
      <c r="E76" s="2"/>
      <c r="F76" s="2"/>
      <c r="G76" s="2"/>
    </row>
    <row r="77" spans="1:7" ht="43.5" customHeight="1">
      <c r="A77" s="2"/>
      <c r="B77" s="3"/>
      <c r="C77" s="2"/>
      <c r="D77" s="2"/>
      <c r="E77" s="2"/>
      <c r="F77" s="2"/>
      <c r="G77" s="2"/>
    </row>
    <row r="78" spans="1:7" ht="43.5" customHeight="1">
      <c r="A78" s="2"/>
      <c r="B78" s="3"/>
      <c r="C78" s="2"/>
      <c r="D78" s="2"/>
      <c r="E78" s="2"/>
      <c r="F78" s="2"/>
      <c r="G78" s="2"/>
    </row>
    <row r="79" spans="1:7" ht="43.5" customHeight="1">
      <c r="A79" s="2"/>
      <c r="B79" s="3"/>
      <c r="C79" s="2"/>
      <c r="D79" s="2"/>
      <c r="E79" s="2"/>
      <c r="F79" s="2"/>
      <c r="G79" s="2"/>
    </row>
    <row r="80" spans="1:7" ht="43.5" customHeight="1">
      <c r="A80" s="2"/>
      <c r="B80" s="3"/>
      <c r="C80" s="2"/>
      <c r="D80" s="2"/>
      <c r="E80" s="2"/>
      <c r="F80" s="2"/>
      <c r="G80" s="2"/>
    </row>
    <row r="81" spans="1:7" ht="43.5" customHeight="1">
      <c r="A81" s="2"/>
      <c r="B81" s="3"/>
      <c r="C81" s="2"/>
      <c r="D81" s="2"/>
      <c r="E81" s="2"/>
      <c r="F81" s="2"/>
      <c r="G81" s="2"/>
    </row>
    <row r="82" spans="1:7" ht="43.5" customHeight="1">
      <c r="A82" s="2"/>
      <c r="B82" s="3"/>
      <c r="C82" s="2"/>
      <c r="D82" s="2"/>
      <c r="E82" s="2"/>
      <c r="F82" s="2"/>
      <c r="G82" s="2"/>
    </row>
    <row r="83" spans="1:7" ht="43.5" customHeight="1">
      <c r="A83" s="2"/>
      <c r="B83" s="3"/>
      <c r="C83" s="2"/>
      <c r="D83" s="2"/>
      <c r="E83" s="2"/>
      <c r="F83" s="2"/>
      <c r="G83" s="2"/>
    </row>
    <row r="84" spans="1:7" ht="43.5" customHeight="1">
      <c r="A84" s="2"/>
      <c r="B84" s="3"/>
      <c r="C84" s="2"/>
      <c r="D84" s="2"/>
      <c r="E84" s="2"/>
      <c r="F84" s="2"/>
      <c r="G84" s="2"/>
    </row>
    <row r="85" spans="1:7" ht="43.5" customHeight="1">
      <c r="A85" s="2"/>
      <c r="B85" s="3"/>
      <c r="C85" s="2"/>
      <c r="D85" s="2"/>
      <c r="E85" s="2"/>
      <c r="F85" s="2"/>
      <c r="G85" s="2"/>
    </row>
    <row r="86" spans="1:7" ht="43.5" customHeight="1">
      <c r="A86" s="2"/>
      <c r="B86" s="3"/>
      <c r="C86" s="2"/>
      <c r="D86" s="2"/>
      <c r="E86" s="2"/>
      <c r="F86" s="2"/>
      <c r="G86" s="2"/>
    </row>
    <row r="87" spans="1:7" ht="43.5" customHeight="1">
      <c r="A87" s="2"/>
      <c r="B87" s="3"/>
      <c r="C87" s="2"/>
      <c r="D87" s="2"/>
      <c r="E87" s="2"/>
      <c r="F87" s="2"/>
      <c r="G87" s="2"/>
    </row>
    <row r="88" spans="1:7" ht="43.5" customHeight="1">
      <c r="A88" s="2"/>
      <c r="B88" s="3"/>
      <c r="C88" s="2"/>
      <c r="D88" s="2"/>
      <c r="E88" s="2"/>
      <c r="F88" s="2"/>
      <c r="G88" s="2"/>
    </row>
    <row r="89" spans="1:7" ht="43.5" customHeight="1">
      <c r="A89" s="2"/>
      <c r="B89" s="3"/>
      <c r="C89" s="2"/>
      <c r="D89" s="2"/>
      <c r="E89" s="2"/>
      <c r="F89" s="2"/>
      <c r="G89" s="2"/>
    </row>
    <row r="90" spans="1:7" ht="43.5" customHeight="1">
      <c r="A90" s="2"/>
      <c r="B90" s="3"/>
      <c r="C90" s="2"/>
      <c r="D90" s="2"/>
      <c r="E90" s="2"/>
      <c r="F90" s="2"/>
      <c r="G90" s="2"/>
    </row>
    <row r="91" spans="1:7" ht="43.5" customHeight="1">
      <c r="A91" s="2"/>
      <c r="B91" s="3"/>
      <c r="C91" s="2"/>
      <c r="D91" s="2"/>
      <c r="E91" s="2"/>
      <c r="F91" s="2"/>
      <c r="G91" s="2"/>
    </row>
    <row r="92" spans="1:7" ht="43.5" customHeight="1">
      <c r="A92" s="2"/>
      <c r="B92" s="3"/>
      <c r="C92" s="2"/>
      <c r="D92" s="2"/>
      <c r="E92" s="2"/>
      <c r="F92" s="2"/>
      <c r="G92" s="2"/>
    </row>
    <row r="93" spans="1:7" ht="43.5" customHeight="1">
      <c r="A93" s="2"/>
      <c r="B93" s="3"/>
      <c r="C93" s="2"/>
      <c r="D93" s="2"/>
      <c r="E93" s="2"/>
      <c r="F93" s="2"/>
      <c r="G93" s="2"/>
    </row>
    <row r="94" spans="1:7" ht="43.5" customHeight="1">
      <c r="A94" s="2"/>
      <c r="B94" s="3"/>
      <c r="C94" s="2"/>
      <c r="D94" s="2"/>
      <c r="E94" s="2"/>
      <c r="F94" s="2"/>
      <c r="G94" s="2"/>
    </row>
    <row r="95" spans="1:7" ht="43.5" customHeight="1">
      <c r="A95" s="2"/>
      <c r="B95" s="3"/>
      <c r="C95" s="2"/>
      <c r="D95" s="2"/>
      <c r="E95" s="2"/>
      <c r="F95" s="2"/>
      <c r="G95" s="2"/>
    </row>
    <row r="96" spans="1:7" ht="43.5" customHeight="1">
      <c r="A96" s="2"/>
      <c r="B96" s="3"/>
      <c r="C96" s="2"/>
      <c r="D96" s="2"/>
      <c r="E96" s="2"/>
      <c r="F96" s="2"/>
      <c r="G96" s="2"/>
    </row>
    <row r="97" spans="1:7" ht="43.5" customHeight="1">
      <c r="A97" s="2"/>
      <c r="B97" s="3"/>
      <c r="C97" s="2"/>
      <c r="D97" s="2"/>
      <c r="E97" s="2"/>
      <c r="F97" s="2"/>
      <c r="G97" s="2"/>
    </row>
    <row r="98" spans="1:7" ht="43.5" customHeight="1">
      <c r="A98" s="2"/>
      <c r="B98" s="3"/>
      <c r="C98" s="2"/>
      <c r="D98" s="2"/>
      <c r="E98" s="2"/>
      <c r="F98" s="2"/>
      <c r="G98" s="2"/>
    </row>
    <row r="99" spans="1:7" ht="43.5" customHeight="1">
      <c r="A99" s="2"/>
      <c r="B99" s="3"/>
      <c r="C99" s="2"/>
      <c r="D99" s="2"/>
      <c r="E99" s="2"/>
      <c r="F99" s="2"/>
      <c r="G99" s="2"/>
    </row>
    <row r="100" spans="1:7" ht="43.5" customHeight="1">
      <c r="A100" s="2"/>
      <c r="B100" s="3"/>
      <c r="C100" s="2"/>
      <c r="D100" s="2"/>
      <c r="E100" s="2"/>
      <c r="F100" s="2"/>
      <c r="G100" s="2"/>
    </row>
    <row r="101" spans="1:7" ht="43.5" customHeight="1">
      <c r="A101" s="2"/>
      <c r="B101" s="3"/>
      <c r="C101" s="2"/>
      <c r="D101" s="2"/>
      <c r="E101" s="2"/>
      <c r="F101" s="2"/>
      <c r="G101" s="2"/>
    </row>
    <row r="102" spans="1:7" ht="43.5" customHeight="1">
      <c r="A102" s="2"/>
      <c r="B102" s="3"/>
      <c r="C102" s="2"/>
      <c r="D102" s="2"/>
      <c r="E102" s="2"/>
      <c r="F102" s="2"/>
      <c r="G102" s="2"/>
    </row>
    <row r="103" spans="1:7" ht="43.5" customHeight="1">
      <c r="A103" s="2"/>
      <c r="B103" s="3"/>
      <c r="C103" s="2"/>
      <c r="D103" s="2"/>
      <c r="E103" s="2"/>
      <c r="F103" s="2"/>
      <c r="G103" s="2"/>
    </row>
    <row r="104" spans="1:7" ht="43.5" customHeight="1">
      <c r="A104" s="2"/>
      <c r="B104" s="3"/>
      <c r="C104" s="2"/>
      <c r="D104" s="2"/>
      <c r="E104" s="2"/>
      <c r="F104" s="2"/>
      <c r="G104" s="2"/>
    </row>
    <row r="105" spans="1:7" ht="43.5" customHeight="1">
      <c r="A105" s="2"/>
      <c r="B105" s="3"/>
      <c r="C105" s="2"/>
      <c r="D105" s="2"/>
      <c r="E105" s="2"/>
      <c r="F105" s="2"/>
      <c r="G105" s="2"/>
    </row>
    <row r="106" spans="1:7" ht="43.5" customHeight="1">
      <c r="A106" s="2"/>
      <c r="B106" s="3"/>
      <c r="C106" s="2"/>
      <c r="D106" s="2"/>
      <c r="E106" s="2"/>
      <c r="F106" s="2"/>
      <c r="G106" s="2"/>
    </row>
    <row r="107" spans="1:7" ht="43.5" customHeight="1">
      <c r="A107" s="2"/>
      <c r="B107" s="3"/>
      <c r="C107" s="2"/>
      <c r="D107" s="2"/>
      <c r="E107" s="2"/>
      <c r="F107" s="2"/>
      <c r="G107" s="2"/>
    </row>
    <row r="108" spans="1:7" ht="43.5" customHeight="1">
      <c r="A108" s="2"/>
      <c r="B108" s="3"/>
      <c r="C108" s="2"/>
      <c r="D108" s="2"/>
      <c r="E108" s="2"/>
      <c r="F108" s="2"/>
      <c r="G108" s="2"/>
    </row>
    <row r="109" spans="1:7" ht="43.5" customHeight="1">
      <c r="A109" s="2"/>
      <c r="B109" s="3"/>
      <c r="C109" s="2"/>
      <c r="D109" s="2"/>
      <c r="E109" s="2"/>
      <c r="F109" s="2"/>
      <c r="G109" s="2"/>
    </row>
    <row r="110" spans="1:7" ht="43.5" customHeight="1">
      <c r="A110" s="2"/>
      <c r="B110" s="3"/>
      <c r="C110" s="2"/>
      <c r="D110" s="2"/>
      <c r="E110" s="2"/>
      <c r="F110" s="2"/>
      <c r="G110" s="2"/>
    </row>
    <row r="111" spans="1:7" ht="43.5" customHeight="1">
      <c r="A111" s="2"/>
      <c r="B111" s="3"/>
      <c r="C111" s="2"/>
      <c r="D111" s="2"/>
      <c r="E111" s="2"/>
      <c r="F111" s="2"/>
      <c r="G111" s="2"/>
    </row>
    <row r="112" spans="1:7" ht="43.5" customHeight="1">
      <c r="A112" s="2"/>
      <c r="B112" s="3"/>
      <c r="C112" s="2"/>
      <c r="D112" s="2"/>
      <c r="E112" s="2"/>
      <c r="F112" s="2"/>
      <c r="G112" s="2"/>
    </row>
    <row r="113" spans="1:7" ht="43.5" customHeight="1">
      <c r="A113" s="2"/>
      <c r="B113" s="3"/>
      <c r="C113" s="2"/>
      <c r="D113" s="2"/>
      <c r="E113" s="2"/>
      <c r="F113" s="2"/>
      <c r="G113" s="2"/>
    </row>
    <row r="114" spans="1:7" ht="43.5" customHeight="1">
      <c r="A114" s="2"/>
      <c r="B114" s="3"/>
      <c r="C114" s="2"/>
      <c r="D114" s="2"/>
      <c r="E114" s="2"/>
      <c r="F114" s="2"/>
      <c r="G114" s="2"/>
    </row>
    <row r="115" spans="1:7" ht="43.5" customHeight="1">
      <c r="A115" s="2"/>
      <c r="B115" s="3"/>
      <c r="C115" s="2"/>
      <c r="D115" s="2"/>
      <c r="E115" s="2"/>
      <c r="F115" s="2"/>
      <c r="G115" s="2"/>
    </row>
    <row r="116" spans="1:7" ht="43.5" customHeight="1">
      <c r="A116" s="2"/>
      <c r="B116" s="3"/>
      <c r="C116" s="2"/>
      <c r="D116" s="2"/>
      <c r="E116" s="2"/>
      <c r="F116" s="2"/>
      <c r="G116" s="2"/>
    </row>
    <row r="117" spans="1:7" ht="43.5" customHeight="1">
      <c r="A117" s="2"/>
      <c r="B117" s="3"/>
      <c r="C117" s="2"/>
      <c r="D117" s="2"/>
      <c r="E117" s="2"/>
      <c r="F117" s="2"/>
      <c r="G117" s="2"/>
    </row>
    <row r="118" spans="1:7" ht="43.5" customHeight="1">
      <c r="A118" s="2"/>
      <c r="B118" s="3"/>
      <c r="C118" s="2"/>
      <c r="D118" s="2"/>
      <c r="E118" s="2"/>
      <c r="F118" s="2"/>
      <c r="G118" s="2"/>
    </row>
    <row r="119" spans="1:7" ht="43.5" customHeight="1">
      <c r="A119" s="2"/>
      <c r="B119" s="3"/>
      <c r="C119" s="2"/>
      <c r="D119" s="2"/>
      <c r="E119" s="2"/>
      <c r="F119" s="2"/>
      <c r="G119" s="2"/>
    </row>
    <row r="120" spans="1:7" ht="43.5" customHeight="1">
      <c r="A120" s="2"/>
      <c r="B120" s="3"/>
      <c r="C120" s="2"/>
      <c r="D120" s="2"/>
      <c r="E120" s="2"/>
      <c r="F120" s="2"/>
      <c r="G120" s="2"/>
    </row>
    <row r="121" spans="1:7" ht="43.5" customHeight="1">
      <c r="A121" s="2"/>
      <c r="B121" s="3"/>
      <c r="C121" s="2"/>
      <c r="D121" s="2"/>
      <c r="E121" s="2"/>
      <c r="F121" s="2"/>
      <c r="G121" s="2"/>
    </row>
    <row r="122" spans="1:7" ht="43.5" customHeight="1">
      <c r="A122" s="2"/>
      <c r="B122" s="3"/>
      <c r="C122" s="2"/>
      <c r="D122" s="2"/>
      <c r="E122" s="2"/>
      <c r="F122" s="2"/>
      <c r="G122" s="2"/>
    </row>
    <row r="123" spans="1:7" ht="43.5" customHeight="1">
      <c r="A123" s="2"/>
      <c r="B123" s="3"/>
      <c r="C123" s="2"/>
      <c r="D123" s="2"/>
      <c r="E123" s="2"/>
      <c r="F123" s="2"/>
      <c r="G123" s="2"/>
    </row>
    <row r="124" spans="1:7" ht="43.5" customHeight="1">
      <c r="A124" s="2"/>
      <c r="B124" s="3"/>
      <c r="C124" s="2"/>
      <c r="D124" s="2"/>
      <c r="E124" s="2"/>
      <c r="F124" s="2"/>
      <c r="G124" s="2"/>
    </row>
    <row r="125" spans="1:7" ht="43.5" customHeight="1">
      <c r="A125" s="2"/>
      <c r="B125" s="3"/>
      <c r="C125" s="2"/>
      <c r="D125" s="2"/>
      <c r="E125" s="2"/>
      <c r="F125" s="2"/>
      <c r="G125" s="2"/>
    </row>
    <row r="126" spans="1:7" ht="43.5" customHeight="1">
      <c r="A126" s="2"/>
      <c r="B126" s="3"/>
      <c r="C126" s="2"/>
      <c r="D126" s="2"/>
      <c r="E126" s="2"/>
      <c r="F126" s="2"/>
      <c r="G126" s="2"/>
    </row>
    <row r="127" spans="1:7" ht="43.5" customHeight="1">
      <c r="A127" s="2"/>
      <c r="B127" s="3"/>
      <c r="C127" s="2"/>
      <c r="D127" s="2"/>
      <c r="E127" s="2"/>
      <c r="F127" s="2"/>
      <c r="G127" s="2"/>
    </row>
    <row r="128" spans="1:7" ht="43.5" customHeight="1">
      <c r="A128" s="2"/>
      <c r="B128" s="3"/>
      <c r="C128" s="2"/>
      <c r="D128" s="2"/>
      <c r="E128" s="2"/>
      <c r="F128" s="2"/>
      <c r="G128" s="2"/>
    </row>
    <row r="129" spans="1:7" ht="43.5" customHeight="1">
      <c r="A129" s="2"/>
      <c r="B129" s="3"/>
      <c r="C129" s="2"/>
      <c r="D129" s="2"/>
      <c r="E129" s="2"/>
      <c r="F129" s="2"/>
      <c r="G129" s="2"/>
    </row>
    <row r="130" spans="1:7" ht="43.5" customHeight="1">
      <c r="A130" s="2"/>
      <c r="B130" s="3"/>
      <c r="C130" s="2"/>
      <c r="D130" s="2"/>
      <c r="E130" s="2"/>
      <c r="F130" s="2"/>
      <c r="G130" s="2"/>
    </row>
    <row r="131" spans="1:7" ht="43.5" customHeight="1">
      <c r="A131" s="2"/>
      <c r="B131" s="3"/>
      <c r="C131" s="2"/>
      <c r="D131" s="2"/>
      <c r="E131" s="2"/>
      <c r="F131" s="2"/>
      <c r="G131" s="2"/>
    </row>
    <row r="132" spans="1:7" ht="43.5" customHeight="1">
      <c r="A132" s="2"/>
      <c r="B132" s="3"/>
      <c r="C132" s="2"/>
      <c r="D132" s="2"/>
      <c r="E132" s="2"/>
      <c r="F132" s="2"/>
      <c r="G132" s="2"/>
    </row>
    <row r="133" spans="1:7" ht="43.5" customHeight="1">
      <c r="A133" s="2"/>
      <c r="B133" s="3"/>
      <c r="C133" s="2"/>
      <c r="D133" s="2"/>
      <c r="E133" s="2"/>
      <c r="F133" s="2"/>
      <c r="G133" s="2"/>
    </row>
    <row r="134" spans="1:7" ht="43.5" customHeight="1">
      <c r="A134" s="2"/>
      <c r="B134" s="3"/>
      <c r="C134" s="2"/>
      <c r="D134" s="2"/>
      <c r="E134" s="2"/>
      <c r="F134" s="2"/>
      <c r="G134" s="2"/>
    </row>
    <row r="135" spans="1:7" ht="43.5" customHeight="1">
      <c r="A135" s="2"/>
      <c r="B135" s="3"/>
      <c r="C135" s="2"/>
      <c r="D135" s="2"/>
      <c r="E135" s="2"/>
      <c r="F135" s="2"/>
      <c r="G135" s="2"/>
    </row>
    <row r="136" spans="1:7" ht="43.5" customHeight="1">
      <c r="A136" s="2"/>
      <c r="B136" s="3"/>
      <c r="C136" s="2"/>
      <c r="D136" s="2"/>
      <c r="E136" s="2"/>
      <c r="F136" s="2"/>
      <c r="G136" s="2"/>
    </row>
    <row r="137" spans="1:7" ht="43.5" customHeight="1">
      <c r="A137" s="2"/>
      <c r="B137" s="3"/>
      <c r="C137" s="2"/>
      <c r="D137" s="2"/>
      <c r="E137" s="2"/>
      <c r="F137" s="2"/>
      <c r="G137" s="2"/>
    </row>
    <row r="138" spans="1:7" ht="43.5" customHeight="1">
      <c r="A138" s="2"/>
      <c r="B138" s="3"/>
      <c r="C138" s="2"/>
      <c r="D138" s="2"/>
      <c r="E138" s="2"/>
      <c r="F138" s="2"/>
      <c r="G138" s="2"/>
    </row>
    <row r="139" spans="1:7" ht="43.5" customHeight="1">
      <c r="A139" s="2"/>
      <c r="B139" s="3"/>
      <c r="C139" s="2"/>
      <c r="D139" s="2"/>
      <c r="E139" s="2"/>
      <c r="F139" s="2"/>
      <c r="G139" s="2"/>
    </row>
    <row r="140" spans="1:7" ht="43.5" customHeight="1">
      <c r="A140" s="2"/>
      <c r="B140" s="3"/>
      <c r="C140" s="2"/>
      <c r="D140" s="2"/>
      <c r="E140" s="2"/>
      <c r="F140" s="2"/>
      <c r="G140" s="2"/>
    </row>
    <row r="141" spans="1:7" ht="43.5" customHeight="1">
      <c r="A141" s="2"/>
      <c r="B141" s="3"/>
      <c r="C141" s="2"/>
      <c r="D141" s="2"/>
      <c r="E141" s="2"/>
      <c r="F141" s="2"/>
      <c r="G141" s="2"/>
    </row>
    <row r="142" spans="1:7" ht="43.5" customHeight="1">
      <c r="A142" s="2"/>
      <c r="B142" s="3"/>
      <c r="C142" s="2"/>
      <c r="D142" s="2"/>
      <c r="E142" s="2"/>
      <c r="F142" s="2"/>
      <c r="G142" s="2"/>
    </row>
    <row r="143" spans="1:7" ht="43.5" customHeight="1">
      <c r="A143" s="2"/>
      <c r="B143" s="3"/>
      <c r="C143" s="2"/>
      <c r="D143" s="2"/>
      <c r="E143" s="2"/>
      <c r="F143" s="2"/>
      <c r="G143" s="2"/>
    </row>
    <row r="144" spans="1:7" ht="43.5" customHeight="1">
      <c r="A144" s="2"/>
      <c r="B144" s="3"/>
      <c r="C144" s="2"/>
      <c r="D144" s="2"/>
      <c r="E144" s="2"/>
      <c r="F144" s="2"/>
      <c r="G144" s="2"/>
    </row>
    <row r="145" spans="1:7" ht="43.5" customHeight="1">
      <c r="A145" s="2"/>
      <c r="B145" s="3"/>
      <c r="C145" s="2"/>
      <c r="D145" s="2"/>
      <c r="E145" s="2"/>
      <c r="F145" s="2"/>
      <c r="G145" s="2"/>
    </row>
    <row r="146" spans="1:7" ht="43.5" customHeight="1">
      <c r="A146" s="2"/>
      <c r="B146" s="3"/>
      <c r="C146" s="2"/>
      <c r="D146" s="2"/>
      <c r="E146" s="2"/>
      <c r="F146" s="2"/>
      <c r="G146" s="2"/>
    </row>
    <row r="147" spans="1:7" ht="43.5" customHeight="1">
      <c r="A147" s="2"/>
      <c r="B147" s="3"/>
      <c r="C147" s="2"/>
      <c r="D147" s="2"/>
      <c r="E147" s="2"/>
      <c r="F147" s="2"/>
      <c r="G147" s="2"/>
    </row>
    <row r="148" spans="1:7" ht="43.5" customHeight="1">
      <c r="A148" s="2"/>
      <c r="B148" s="3"/>
      <c r="C148" s="2"/>
      <c r="D148" s="2"/>
      <c r="E148" s="2"/>
      <c r="F148" s="2"/>
      <c r="G148" s="2"/>
    </row>
    <row r="149" spans="1:7" ht="43.5" customHeight="1">
      <c r="A149" s="2"/>
      <c r="B149" s="3"/>
      <c r="C149" s="2"/>
      <c r="D149" s="2"/>
      <c r="E149" s="2"/>
      <c r="F149" s="2"/>
      <c r="G149" s="2"/>
    </row>
    <row r="150" spans="1:7" ht="43.5" customHeight="1">
      <c r="A150" s="2"/>
      <c r="B150" s="3"/>
      <c r="C150" s="2"/>
      <c r="D150" s="2"/>
      <c r="E150" s="2"/>
      <c r="F150" s="2"/>
      <c r="G150" s="2"/>
    </row>
    <row r="151" spans="1:7" ht="43.5" customHeight="1">
      <c r="A151" s="2"/>
      <c r="B151" s="3"/>
      <c r="C151" s="2"/>
      <c r="D151" s="2"/>
      <c r="E151" s="2"/>
      <c r="F151" s="2"/>
      <c r="G151" s="2"/>
    </row>
    <row r="152" spans="1:7" ht="43.5" customHeight="1">
      <c r="A152" s="2"/>
      <c r="B152" s="3"/>
      <c r="C152" s="2"/>
      <c r="D152" s="2"/>
      <c r="E152" s="2"/>
      <c r="F152" s="2"/>
      <c r="G152" s="2"/>
    </row>
    <row r="153" spans="1:7" ht="43.5" customHeight="1">
      <c r="A153" s="2"/>
      <c r="B153" s="3"/>
      <c r="C153" s="2"/>
      <c r="D153" s="2"/>
      <c r="E153" s="2"/>
      <c r="F153" s="2"/>
      <c r="G153" s="2"/>
    </row>
    <row r="154" spans="1:7" ht="43.5" customHeight="1">
      <c r="A154" s="2"/>
      <c r="B154" s="3"/>
      <c r="C154" s="2"/>
      <c r="D154" s="2"/>
      <c r="E154" s="2"/>
      <c r="F154" s="2"/>
      <c r="G154" s="2"/>
    </row>
    <row r="155" spans="1:7" ht="43.5" customHeight="1">
      <c r="A155" s="2"/>
      <c r="B155" s="3"/>
      <c r="C155" s="2"/>
      <c r="D155" s="2"/>
      <c r="E155" s="2"/>
      <c r="F155" s="2"/>
      <c r="G155" s="2"/>
    </row>
    <row r="156" spans="1:7" ht="43.5" customHeight="1">
      <c r="A156" s="2"/>
      <c r="B156" s="3"/>
      <c r="C156" s="2"/>
      <c r="D156" s="2"/>
      <c r="E156" s="2"/>
      <c r="F156" s="2"/>
      <c r="G156" s="2"/>
    </row>
    <row r="157" spans="1:7" ht="43.5" customHeight="1">
      <c r="A157" s="2"/>
      <c r="B157" s="3"/>
      <c r="C157" s="2"/>
      <c r="D157" s="2"/>
      <c r="E157" s="2"/>
      <c r="F157" s="2"/>
      <c r="G157" s="2"/>
    </row>
    <row r="158" spans="1:7" ht="43.5" customHeight="1">
      <c r="A158" s="2"/>
      <c r="B158" s="3"/>
      <c r="C158" s="2"/>
      <c r="D158" s="2"/>
      <c r="E158" s="2"/>
      <c r="F158" s="2"/>
      <c r="G158" s="2"/>
    </row>
    <row r="159" spans="1:7" ht="43.5" customHeight="1">
      <c r="A159" s="2"/>
      <c r="B159" s="3"/>
      <c r="C159" s="2"/>
      <c r="D159" s="2"/>
      <c r="E159" s="2"/>
      <c r="F159" s="2"/>
      <c r="G159" s="2"/>
    </row>
    <row r="160" spans="1:7" ht="43.5" customHeight="1">
      <c r="A160" s="2"/>
      <c r="B160" s="3"/>
      <c r="C160" s="2"/>
      <c r="D160" s="2"/>
      <c r="E160" s="2"/>
      <c r="F160" s="2"/>
      <c r="G160" s="2"/>
    </row>
    <row r="161" spans="1:7" ht="43.5" customHeight="1">
      <c r="A161" s="2"/>
      <c r="B161" s="3"/>
      <c r="C161" s="2"/>
      <c r="D161" s="2"/>
      <c r="E161" s="2"/>
      <c r="F161" s="2"/>
      <c r="G161" s="2"/>
    </row>
    <row r="162" spans="1:7" ht="43.5" customHeight="1">
      <c r="A162" s="2"/>
      <c r="B162" s="3"/>
      <c r="C162" s="2"/>
      <c r="D162" s="2"/>
      <c r="E162" s="2"/>
      <c r="F162" s="2"/>
      <c r="G162" s="2"/>
    </row>
    <row r="163" spans="1:7" ht="43.5" customHeight="1">
      <c r="A163" s="2"/>
      <c r="B163" s="3"/>
      <c r="C163" s="2"/>
      <c r="D163" s="2"/>
      <c r="E163" s="2"/>
      <c r="F163" s="2"/>
      <c r="G163" s="2"/>
    </row>
    <row r="164" spans="1:7" ht="43.5" customHeight="1">
      <c r="A164" s="2"/>
      <c r="B164" s="3"/>
      <c r="C164" s="2"/>
      <c r="D164" s="2"/>
      <c r="E164" s="2"/>
      <c r="F164" s="2"/>
      <c r="G164" s="2"/>
    </row>
    <row r="165" spans="1:7" ht="43.5" customHeight="1">
      <c r="A165" s="2"/>
      <c r="B165" s="3"/>
      <c r="C165" s="2"/>
      <c r="D165" s="2"/>
      <c r="E165" s="2"/>
      <c r="F165" s="2"/>
      <c r="G165" s="2"/>
    </row>
    <row r="166" spans="1:7" ht="43.5" customHeight="1">
      <c r="A166" s="2"/>
      <c r="B166" s="3"/>
      <c r="C166" s="2"/>
      <c r="D166" s="2"/>
      <c r="E166" s="2"/>
      <c r="F166" s="2"/>
      <c r="G166" s="2"/>
    </row>
    <row r="167" spans="1:7" ht="43.5" customHeight="1">
      <c r="A167" s="2"/>
      <c r="B167" s="3"/>
      <c r="C167" s="2"/>
      <c r="D167" s="2"/>
      <c r="E167" s="2"/>
      <c r="F167" s="2"/>
      <c r="G167" s="2"/>
    </row>
    <row r="168" spans="1:7" ht="43.5" customHeight="1">
      <c r="A168" s="2"/>
      <c r="B168" s="3"/>
      <c r="C168" s="2"/>
      <c r="D168" s="2"/>
      <c r="E168" s="2"/>
      <c r="F168" s="2"/>
      <c r="G168" s="2"/>
    </row>
    <row r="169" spans="1:7" ht="43.5" customHeight="1">
      <c r="A169" s="2"/>
      <c r="B169" s="3"/>
      <c r="C169" s="2"/>
      <c r="D169" s="2"/>
      <c r="E169" s="2"/>
      <c r="F169" s="2"/>
      <c r="G169" s="2"/>
    </row>
    <row r="170" spans="1:7" ht="43.5" customHeight="1">
      <c r="A170" s="2"/>
      <c r="B170" s="3"/>
      <c r="C170" s="2"/>
      <c r="D170" s="2"/>
      <c r="E170" s="2"/>
      <c r="F170" s="2"/>
      <c r="G170" s="2"/>
    </row>
    <row r="171" spans="1:7" ht="43.5" customHeight="1">
      <c r="A171" s="2"/>
      <c r="B171" s="3"/>
      <c r="C171" s="2"/>
      <c r="D171" s="2"/>
      <c r="E171" s="2"/>
      <c r="F171" s="2"/>
      <c r="G171" s="2"/>
    </row>
    <row r="172" spans="1:7" ht="43.5" customHeight="1">
      <c r="A172" s="2"/>
      <c r="B172" s="3"/>
      <c r="C172" s="2"/>
      <c r="D172" s="2"/>
      <c r="E172" s="2"/>
      <c r="F172" s="2"/>
      <c r="G172" s="2"/>
    </row>
    <row r="173" spans="1:7" ht="43.5" customHeight="1">
      <c r="A173" s="2"/>
      <c r="B173" s="3"/>
      <c r="C173" s="2"/>
      <c r="D173" s="2"/>
      <c r="E173" s="2"/>
      <c r="F173" s="2"/>
      <c r="G173" s="2"/>
    </row>
    <row r="174" spans="1:7" ht="43.5" customHeight="1">
      <c r="A174" s="2"/>
      <c r="B174" s="3"/>
      <c r="C174" s="2"/>
      <c r="D174" s="2"/>
      <c r="E174" s="2"/>
      <c r="F174" s="2"/>
      <c r="G174" s="2"/>
    </row>
    <row r="175" spans="1:7" ht="43.5" customHeight="1">
      <c r="A175" s="2"/>
      <c r="B175" s="3"/>
      <c r="C175" s="2"/>
      <c r="D175" s="2"/>
      <c r="E175" s="2"/>
      <c r="F175" s="2"/>
      <c r="G175" s="2"/>
    </row>
    <row r="176" spans="1:7" ht="43.5" customHeight="1">
      <c r="A176" s="2"/>
      <c r="B176" s="3"/>
      <c r="C176" s="2"/>
      <c r="D176" s="2"/>
      <c r="E176" s="2"/>
      <c r="F176" s="2"/>
      <c r="G176" s="2"/>
    </row>
    <row r="177" spans="1:7" ht="43.5" customHeight="1">
      <c r="A177" s="2"/>
      <c r="B177" s="3"/>
      <c r="C177" s="2"/>
      <c r="D177" s="2"/>
      <c r="E177" s="2"/>
      <c r="F177" s="2"/>
      <c r="G177" s="2"/>
    </row>
    <row r="178" spans="1:7" ht="43.5" customHeight="1">
      <c r="A178" s="2"/>
      <c r="B178" s="3"/>
      <c r="C178" s="2"/>
      <c r="D178" s="2"/>
      <c r="E178" s="2"/>
      <c r="F178" s="2"/>
      <c r="G178" s="2"/>
    </row>
    <row r="179" spans="1:7" ht="43.5" customHeight="1">
      <c r="A179" s="2"/>
      <c r="B179" s="3"/>
      <c r="C179" s="2"/>
      <c r="D179" s="2"/>
      <c r="E179" s="2"/>
      <c r="F179" s="2"/>
      <c r="G179" s="2"/>
    </row>
    <row r="180" spans="1:7" ht="43.5" customHeight="1">
      <c r="A180" s="2"/>
      <c r="B180" s="3"/>
      <c r="C180" s="2"/>
      <c r="D180" s="2"/>
      <c r="E180" s="2"/>
      <c r="F180" s="2"/>
      <c r="G180" s="2"/>
    </row>
    <row r="181" spans="1:7" ht="43.5" customHeight="1">
      <c r="A181" s="2"/>
      <c r="B181" s="3"/>
      <c r="C181" s="2"/>
      <c r="D181" s="2"/>
      <c r="E181" s="2"/>
      <c r="F181" s="2"/>
      <c r="G181" s="2"/>
    </row>
    <row r="182" spans="1:7" ht="43.5" customHeight="1">
      <c r="A182" s="2"/>
      <c r="B182" s="3"/>
      <c r="C182" s="2"/>
      <c r="D182" s="2"/>
      <c r="E182" s="2"/>
      <c r="F182" s="2"/>
      <c r="G182" s="2"/>
    </row>
    <row r="183" spans="1:7" ht="43.5" customHeight="1">
      <c r="A183" s="2"/>
      <c r="B183" s="3"/>
      <c r="C183" s="2"/>
      <c r="D183" s="2"/>
      <c r="E183" s="2"/>
      <c r="F183" s="2"/>
      <c r="G183" s="2"/>
    </row>
    <row r="184" spans="1:7" ht="43.5" customHeight="1">
      <c r="A184" s="2"/>
      <c r="B184" s="3"/>
      <c r="C184" s="2"/>
      <c r="D184" s="2"/>
      <c r="E184" s="2"/>
      <c r="F184" s="2"/>
      <c r="G184" s="2"/>
    </row>
    <row r="185" spans="1:7" ht="43.5" customHeight="1">
      <c r="A185" s="2"/>
      <c r="B185" s="3"/>
      <c r="C185" s="2"/>
      <c r="D185" s="2"/>
      <c r="E185" s="2"/>
      <c r="F185" s="2"/>
      <c r="G185" s="2"/>
    </row>
    <row r="186" spans="1:7" ht="43.5" customHeight="1">
      <c r="A186" s="2"/>
      <c r="B186" s="3"/>
      <c r="C186" s="2"/>
      <c r="D186" s="2"/>
      <c r="E186" s="2"/>
      <c r="F186" s="2"/>
      <c r="G186" s="2"/>
    </row>
    <row r="187" spans="1:7" ht="43.5" customHeight="1">
      <c r="A187" s="2"/>
      <c r="B187" s="3"/>
      <c r="C187" s="2"/>
      <c r="D187" s="2"/>
      <c r="E187" s="2"/>
      <c r="F187" s="2"/>
      <c r="G187" s="2"/>
    </row>
    <row r="188" spans="1:7" ht="43.5" customHeight="1">
      <c r="A188" s="2"/>
      <c r="B188" s="3"/>
      <c r="C188" s="2"/>
      <c r="D188" s="2"/>
      <c r="E188" s="2"/>
      <c r="F188" s="2"/>
      <c r="G188" s="2"/>
    </row>
    <row r="189" spans="1:7" ht="43.5" customHeight="1">
      <c r="A189" s="2"/>
      <c r="B189" s="3"/>
      <c r="C189" s="2"/>
      <c r="D189" s="2"/>
      <c r="E189" s="2"/>
      <c r="F189" s="2"/>
      <c r="G189" s="2"/>
    </row>
    <row r="190" spans="1:7" ht="43.5" customHeight="1">
      <c r="A190" s="2"/>
      <c r="B190" s="3"/>
      <c r="C190" s="2"/>
      <c r="D190" s="2"/>
      <c r="E190" s="2"/>
      <c r="F190" s="2"/>
      <c r="G190" s="2"/>
    </row>
    <row r="191" spans="1:7" ht="43.5" customHeight="1">
      <c r="A191" s="2"/>
      <c r="B191" s="3"/>
      <c r="C191" s="2"/>
      <c r="D191" s="2"/>
      <c r="E191" s="2"/>
      <c r="F191" s="2"/>
      <c r="G191" s="2"/>
    </row>
    <row r="192" spans="1:7" ht="43.5" customHeight="1">
      <c r="A192" s="2"/>
      <c r="B192" s="3"/>
      <c r="C192" s="2"/>
      <c r="D192" s="2"/>
      <c r="E192" s="2"/>
      <c r="F192" s="2"/>
      <c r="G192" s="2"/>
    </row>
    <row r="193" spans="1:7" ht="43.5" customHeight="1">
      <c r="A193" s="2"/>
      <c r="B193" s="3"/>
      <c r="C193" s="2"/>
      <c r="D193" s="2"/>
      <c r="E193" s="2"/>
      <c r="F193" s="2"/>
      <c r="G193" s="2"/>
    </row>
    <row r="194" spans="1:7" ht="43.5" customHeight="1">
      <c r="A194" s="2"/>
      <c r="B194" s="3"/>
      <c r="C194" s="2"/>
      <c r="D194" s="2"/>
      <c r="E194" s="2"/>
      <c r="F194" s="2"/>
      <c r="G194" s="2"/>
    </row>
    <row r="195" spans="1:7" ht="43.5" customHeight="1">
      <c r="A195" s="2"/>
      <c r="B195" s="3"/>
      <c r="C195" s="2"/>
      <c r="D195" s="2"/>
      <c r="E195" s="2"/>
      <c r="F195" s="2"/>
      <c r="G195" s="2"/>
    </row>
    <row r="196" spans="1:7" ht="43.5" customHeight="1">
      <c r="A196" s="2"/>
      <c r="B196" s="3"/>
      <c r="C196" s="2"/>
      <c r="D196" s="2"/>
      <c r="E196" s="2"/>
      <c r="F196" s="2"/>
      <c r="G196" s="2"/>
    </row>
    <row r="197" spans="1:7" ht="43.5" customHeight="1">
      <c r="A197" s="2"/>
      <c r="B197" s="3"/>
      <c r="C197" s="2"/>
      <c r="D197" s="2"/>
      <c r="E197" s="2"/>
      <c r="F197" s="2"/>
      <c r="G197" s="2"/>
    </row>
    <row r="198" spans="1:7" ht="43.5" customHeight="1">
      <c r="A198" s="2"/>
      <c r="B198" s="3"/>
      <c r="C198" s="2"/>
      <c r="D198" s="2"/>
      <c r="E198" s="2"/>
      <c r="F198" s="2"/>
      <c r="G198" s="2"/>
    </row>
    <row r="199" spans="1:7" ht="43.5" customHeight="1">
      <c r="A199" s="2"/>
      <c r="B199" s="3"/>
      <c r="C199" s="2"/>
      <c r="D199" s="2"/>
      <c r="E199" s="2"/>
      <c r="F199" s="2"/>
      <c r="G199" s="2"/>
    </row>
    <row r="200" spans="1:7" ht="43.5" customHeight="1">
      <c r="A200" s="2"/>
      <c r="B200" s="3"/>
      <c r="C200" s="2"/>
      <c r="D200" s="2"/>
      <c r="E200" s="2"/>
      <c r="F200" s="2"/>
      <c r="G200" s="2"/>
    </row>
    <row r="201" spans="1:7" ht="43.5" customHeight="1">
      <c r="A201" s="2"/>
      <c r="B201" s="3"/>
      <c r="C201" s="2"/>
      <c r="D201" s="2"/>
      <c r="E201" s="2"/>
      <c r="F201" s="2"/>
      <c r="G201" s="2"/>
    </row>
    <row r="202" spans="1:7" ht="43.5" customHeight="1">
      <c r="A202" s="2"/>
      <c r="B202" s="3"/>
      <c r="C202" s="2"/>
      <c r="D202" s="2"/>
      <c r="E202" s="2"/>
      <c r="F202" s="2"/>
      <c r="G202" s="2"/>
    </row>
    <row r="203" spans="1:7" ht="43.5" customHeight="1">
      <c r="A203" s="2"/>
      <c r="B203" s="3"/>
      <c r="C203" s="2"/>
      <c r="D203" s="2"/>
      <c r="E203" s="2"/>
      <c r="F203" s="2"/>
      <c r="G203" s="2"/>
    </row>
    <row r="204" spans="1:7" ht="43.5" customHeight="1">
      <c r="A204" s="2"/>
      <c r="B204" s="3"/>
      <c r="C204" s="2"/>
      <c r="D204" s="2"/>
      <c r="E204" s="2"/>
      <c r="F204" s="2"/>
      <c r="G204" s="2"/>
    </row>
    <row r="205" spans="1:7" ht="43.5" customHeight="1">
      <c r="A205" s="2"/>
      <c r="B205" s="3"/>
      <c r="C205" s="2"/>
      <c r="D205" s="2"/>
      <c r="E205" s="2"/>
      <c r="F205" s="2"/>
      <c r="G205" s="2"/>
    </row>
    <row r="206" spans="1:7" ht="43.5" customHeight="1">
      <c r="A206" s="2"/>
      <c r="B206" s="3"/>
      <c r="C206" s="2"/>
      <c r="D206" s="2"/>
      <c r="E206" s="2"/>
      <c r="F206" s="2"/>
      <c r="G206" s="2"/>
    </row>
    <row r="207" spans="1:7" ht="43.5" customHeight="1">
      <c r="A207" s="2"/>
      <c r="B207" s="3"/>
      <c r="C207" s="2"/>
      <c r="D207" s="2"/>
      <c r="E207" s="2"/>
      <c r="F207" s="2"/>
      <c r="G207" s="2"/>
    </row>
    <row r="208" spans="1:7" ht="43.5" customHeight="1">
      <c r="A208" s="2"/>
      <c r="B208" s="3"/>
      <c r="C208" s="2"/>
      <c r="D208" s="2"/>
      <c r="E208" s="2"/>
      <c r="F208" s="2"/>
      <c r="G208" s="2"/>
    </row>
    <row r="209" spans="1:7" ht="43.5" customHeight="1">
      <c r="A209" s="2"/>
      <c r="B209" s="3"/>
      <c r="C209" s="2"/>
      <c r="D209" s="2"/>
      <c r="E209" s="2"/>
      <c r="F209" s="2"/>
      <c r="G209" s="2"/>
    </row>
    <row r="210" spans="1:7" ht="43.5" customHeight="1">
      <c r="A210" s="2"/>
      <c r="B210" s="3"/>
      <c r="C210" s="2"/>
      <c r="D210" s="2"/>
      <c r="E210" s="2"/>
      <c r="F210" s="2"/>
      <c r="G210" s="2"/>
    </row>
    <row r="211" spans="1:7" ht="43.5" customHeight="1">
      <c r="A211" s="2"/>
      <c r="B211" s="3"/>
      <c r="C211" s="2"/>
      <c r="D211" s="2"/>
      <c r="E211" s="2"/>
      <c r="F211" s="2"/>
      <c r="G211" s="2"/>
    </row>
    <row r="212" spans="1:7" ht="43.5" customHeight="1">
      <c r="A212" s="2"/>
      <c r="B212" s="3"/>
      <c r="C212" s="2"/>
      <c r="D212" s="2"/>
      <c r="E212" s="2"/>
      <c r="F212" s="2"/>
      <c r="G212" s="2"/>
    </row>
    <row r="213" spans="1:7" ht="43.5" customHeight="1">
      <c r="A213" s="2"/>
      <c r="B213" s="3"/>
      <c r="C213" s="2"/>
      <c r="D213" s="2"/>
      <c r="E213" s="2"/>
      <c r="F213" s="2"/>
      <c r="G213" s="2"/>
    </row>
    <row r="214" spans="1:7" ht="43.5" customHeight="1">
      <c r="A214" s="2"/>
      <c r="B214" s="3"/>
      <c r="C214" s="2"/>
      <c r="D214" s="2"/>
      <c r="E214" s="2"/>
      <c r="F214" s="2"/>
      <c r="G214" s="2"/>
    </row>
    <row r="215" spans="1:7" ht="43.5" customHeight="1">
      <c r="A215" s="2"/>
      <c r="B215" s="3"/>
      <c r="C215" s="2"/>
      <c r="D215" s="2"/>
      <c r="E215" s="2"/>
      <c r="F215" s="2"/>
      <c r="G215" s="2"/>
    </row>
    <row r="216" spans="1:7" ht="43.5" customHeight="1">
      <c r="A216" s="2"/>
      <c r="B216" s="3"/>
      <c r="C216" s="2"/>
      <c r="D216" s="2"/>
      <c r="E216" s="2"/>
      <c r="F216" s="2"/>
      <c r="G216" s="2"/>
    </row>
    <row r="217" spans="1:7" ht="43.5" customHeight="1">
      <c r="A217" s="2"/>
      <c r="B217" s="3"/>
      <c r="C217" s="2"/>
      <c r="D217" s="2"/>
      <c r="E217" s="2"/>
      <c r="F217" s="2"/>
      <c r="G217" s="2"/>
    </row>
    <row r="218" spans="1:7" ht="43.5" customHeight="1">
      <c r="A218" s="2"/>
      <c r="B218" s="3"/>
      <c r="C218" s="2"/>
      <c r="D218" s="2"/>
      <c r="E218" s="2"/>
      <c r="F218" s="2"/>
      <c r="G218" s="2"/>
    </row>
    <row r="219" spans="1:7" ht="43.5" customHeight="1">
      <c r="A219" s="2"/>
      <c r="B219" s="3"/>
      <c r="C219" s="2"/>
      <c r="D219" s="2"/>
      <c r="E219" s="2"/>
      <c r="F219" s="2"/>
      <c r="G219" s="2"/>
    </row>
    <row r="220" spans="1:7" ht="43.5" customHeight="1">
      <c r="A220" s="2"/>
      <c r="B220" s="3"/>
      <c r="C220" s="2"/>
      <c r="D220" s="2"/>
      <c r="E220" s="2"/>
      <c r="F220" s="2"/>
      <c r="G220" s="2"/>
    </row>
    <row r="221" spans="1:7" ht="43.5" customHeight="1">
      <c r="A221" s="2"/>
      <c r="B221" s="3"/>
      <c r="C221" s="2"/>
      <c r="D221" s="2"/>
      <c r="E221" s="2"/>
      <c r="F221" s="2"/>
      <c r="G221" s="2"/>
    </row>
    <row r="222" spans="1:7" ht="43.5" customHeight="1">
      <c r="A222" s="2"/>
      <c r="B222" s="3"/>
      <c r="C222" s="2"/>
      <c r="D222" s="2"/>
      <c r="E222" s="2"/>
      <c r="F222" s="2"/>
      <c r="G222" s="2"/>
    </row>
    <row r="223" spans="1:7" ht="43.5" customHeight="1">
      <c r="A223" s="2"/>
      <c r="B223" s="3"/>
      <c r="C223" s="2"/>
      <c r="D223" s="2"/>
      <c r="E223" s="2"/>
      <c r="F223" s="2"/>
      <c r="G223" s="2"/>
    </row>
    <row r="224" spans="1:7" ht="43.5" customHeight="1">
      <c r="A224" s="2"/>
      <c r="B224" s="3"/>
      <c r="C224" s="2"/>
      <c r="D224" s="2"/>
      <c r="E224" s="2"/>
      <c r="F224" s="2"/>
      <c r="G224" s="2"/>
    </row>
    <row r="225" spans="1:7" ht="43.5" customHeight="1">
      <c r="A225" s="2"/>
      <c r="B225" s="3"/>
      <c r="C225" s="2"/>
      <c r="D225" s="2"/>
      <c r="E225" s="2"/>
      <c r="F225" s="2"/>
      <c r="G225" s="2"/>
    </row>
    <row r="226" spans="1:7" ht="43.5" customHeight="1">
      <c r="A226" s="2"/>
      <c r="B226" s="3"/>
      <c r="C226" s="2"/>
      <c r="D226" s="2"/>
      <c r="E226" s="2"/>
      <c r="F226" s="2"/>
      <c r="G226" s="2"/>
    </row>
    <row r="227" spans="1:7" ht="43.5" customHeight="1">
      <c r="A227" s="2"/>
      <c r="B227" s="3"/>
      <c r="C227" s="2"/>
      <c r="D227" s="2"/>
      <c r="E227" s="2"/>
      <c r="F227" s="2"/>
      <c r="G227" s="2"/>
    </row>
    <row r="228" spans="1:7" ht="43.5" customHeight="1">
      <c r="A228" s="2"/>
      <c r="B228" s="3"/>
      <c r="C228" s="2"/>
      <c r="D228" s="2"/>
      <c r="E228" s="2"/>
      <c r="F228" s="2"/>
      <c r="G228" s="2"/>
    </row>
    <row r="229" spans="1:7" ht="43.5" customHeight="1">
      <c r="A229" s="2"/>
      <c r="B229" s="3"/>
      <c r="C229" s="2"/>
      <c r="D229" s="2"/>
      <c r="E229" s="2"/>
      <c r="F229" s="2"/>
      <c r="G229" s="2"/>
    </row>
    <row r="230" spans="1:7" ht="43.5" customHeight="1">
      <c r="A230" s="2"/>
      <c r="B230" s="3"/>
      <c r="C230" s="2"/>
      <c r="D230" s="2"/>
      <c r="E230" s="2"/>
      <c r="F230" s="2"/>
      <c r="G230" s="2"/>
    </row>
    <row r="231" spans="1:7" ht="43.5" customHeight="1">
      <c r="A231" s="2"/>
      <c r="B231" s="3"/>
      <c r="C231" s="2"/>
      <c r="D231" s="2"/>
      <c r="E231" s="2"/>
      <c r="F231" s="2"/>
      <c r="G231" s="2"/>
    </row>
    <row r="232" spans="1:7" ht="43.5" customHeight="1">
      <c r="A232" s="2"/>
      <c r="B232" s="3"/>
      <c r="C232" s="2"/>
      <c r="D232" s="2"/>
      <c r="E232" s="2"/>
      <c r="F232" s="2"/>
      <c r="G232" s="2"/>
    </row>
    <row r="233" spans="1:7" ht="43.5" customHeight="1">
      <c r="A233" s="2"/>
      <c r="B233" s="3"/>
      <c r="C233" s="2"/>
      <c r="D233" s="2"/>
      <c r="E233" s="2"/>
      <c r="F233" s="2"/>
      <c r="G233" s="2"/>
    </row>
    <row r="234" spans="1:7" ht="43.5" customHeight="1">
      <c r="A234" s="2"/>
      <c r="B234" s="3"/>
      <c r="C234" s="2"/>
      <c r="D234" s="2"/>
      <c r="E234" s="2"/>
      <c r="F234" s="2"/>
      <c r="G234" s="2"/>
    </row>
    <row r="235" spans="1:7" ht="43.5" customHeight="1">
      <c r="A235" s="2"/>
      <c r="B235" s="3"/>
      <c r="C235" s="2"/>
      <c r="D235" s="2"/>
      <c r="E235" s="2"/>
      <c r="F235" s="2"/>
      <c r="G235" s="2"/>
    </row>
    <row r="236" spans="1:7" ht="43.5" customHeight="1">
      <c r="A236" s="2"/>
      <c r="B236" s="3"/>
      <c r="C236" s="2"/>
      <c r="D236" s="2"/>
      <c r="E236" s="2"/>
      <c r="F236" s="2"/>
      <c r="G236" s="2"/>
    </row>
    <row r="237" spans="1:7" ht="43.5" customHeight="1">
      <c r="A237" s="2"/>
      <c r="B237" s="3"/>
      <c r="C237" s="2"/>
      <c r="D237" s="2"/>
      <c r="E237" s="2"/>
      <c r="F237" s="2"/>
      <c r="G237" s="2"/>
    </row>
    <row r="238" spans="1:7" ht="43.5" customHeight="1">
      <c r="A238" s="2"/>
      <c r="B238" s="3"/>
      <c r="C238" s="2"/>
      <c r="D238" s="2"/>
      <c r="E238" s="2"/>
      <c r="F238" s="2"/>
      <c r="G238" s="2"/>
    </row>
    <row r="239" spans="1:7" ht="43.5" customHeight="1">
      <c r="A239" s="2"/>
      <c r="B239" s="3"/>
      <c r="C239" s="2"/>
      <c r="D239" s="2"/>
      <c r="E239" s="2"/>
      <c r="F239" s="2"/>
      <c r="G239" s="2"/>
    </row>
    <row r="240" spans="1:7" ht="43.5" customHeight="1">
      <c r="A240" s="2"/>
      <c r="B240" s="3"/>
      <c r="C240" s="2"/>
      <c r="D240" s="2"/>
      <c r="E240" s="2"/>
      <c r="F240" s="2"/>
      <c r="G240" s="2"/>
    </row>
    <row r="241" spans="1:7" ht="43.5" customHeight="1">
      <c r="A241" s="2"/>
      <c r="B241" s="3"/>
      <c r="C241" s="2"/>
      <c r="D241" s="2"/>
      <c r="E241" s="2"/>
      <c r="F241" s="2"/>
      <c r="G241" s="2"/>
    </row>
    <row r="242" spans="1:7" ht="43.5" customHeight="1">
      <c r="A242" s="2"/>
      <c r="B242" s="3"/>
      <c r="C242" s="2"/>
      <c r="D242" s="2"/>
      <c r="E242" s="2"/>
      <c r="F242" s="2"/>
      <c r="G242" s="2"/>
    </row>
    <row r="243" spans="1:7" ht="43.5" customHeight="1">
      <c r="A243" s="2"/>
      <c r="B243" s="3"/>
      <c r="C243" s="2"/>
      <c r="D243" s="2"/>
      <c r="E243" s="2"/>
      <c r="F243" s="2"/>
      <c r="G243" s="2"/>
    </row>
    <row r="244" spans="1:7" ht="43.5" customHeight="1">
      <c r="A244" s="2"/>
      <c r="B244" s="3"/>
      <c r="C244" s="2"/>
      <c r="D244" s="2"/>
      <c r="E244" s="2"/>
      <c r="F244" s="2"/>
      <c r="G244" s="2"/>
    </row>
    <row r="245" spans="1:7" ht="43.5" customHeight="1">
      <c r="A245" s="2"/>
      <c r="B245" s="3"/>
      <c r="C245" s="2"/>
      <c r="D245" s="2"/>
      <c r="E245" s="2"/>
      <c r="F245" s="2"/>
      <c r="G245" s="2"/>
    </row>
    <row r="246" spans="1:7" ht="43.5" customHeight="1">
      <c r="A246" s="2"/>
      <c r="B246" s="3"/>
      <c r="C246" s="2"/>
      <c r="D246" s="2"/>
      <c r="E246" s="2"/>
      <c r="F246" s="2"/>
      <c r="G246" s="2"/>
    </row>
    <row r="247" spans="1:7" ht="43.5" customHeight="1">
      <c r="A247" s="2"/>
      <c r="B247" s="3"/>
      <c r="C247" s="2"/>
      <c r="D247" s="2"/>
      <c r="E247" s="2"/>
      <c r="F247" s="2"/>
      <c r="G247" s="2"/>
    </row>
    <row r="248" spans="1:7" ht="43.5" customHeight="1">
      <c r="A248" s="2"/>
      <c r="B248" s="3"/>
      <c r="C248" s="2"/>
      <c r="D248" s="2"/>
      <c r="E248" s="2"/>
      <c r="F248" s="2"/>
      <c r="G248" s="2"/>
    </row>
    <row r="249" spans="1:7" ht="43.5" customHeight="1">
      <c r="A249" s="2"/>
      <c r="B249" s="3"/>
      <c r="C249" s="2"/>
      <c r="D249" s="2"/>
      <c r="E249" s="2"/>
      <c r="F249" s="2"/>
      <c r="G249" s="2"/>
    </row>
    <row r="250" spans="1:7" ht="43.5" customHeight="1">
      <c r="A250" s="2"/>
      <c r="B250" s="3"/>
      <c r="C250" s="2"/>
      <c r="D250" s="2"/>
      <c r="E250" s="2"/>
      <c r="F250" s="2"/>
      <c r="G250" s="2"/>
    </row>
    <row r="251" spans="1:7" ht="43.5" customHeight="1">
      <c r="A251" s="2"/>
      <c r="B251" s="3"/>
      <c r="C251" s="2"/>
      <c r="D251" s="2"/>
      <c r="E251" s="2"/>
      <c r="F251" s="2"/>
      <c r="G251" s="2"/>
    </row>
    <row r="252" spans="1:7" ht="43.5" customHeight="1">
      <c r="A252" s="2"/>
      <c r="B252" s="3"/>
      <c r="C252" s="2"/>
      <c r="D252" s="2"/>
      <c r="E252" s="2"/>
      <c r="F252" s="2"/>
      <c r="G252" s="2"/>
    </row>
    <row r="253" spans="1:7" ht="43.5" customHeight="1">
      <c r="A253" s="2"/>
      <c r="B253" s="3"/>
      <c r="C253" s="2"/>
      <c r="D253" s="2"/>
      <c r="E253" s="2"/>
      <c r="F253" s="2"/>
      <c r="G253" s="2"/>
    </row>
    <row r="254" spans="1:7" ht="43.5" customHeight="1">
      <c r="A254" s="2"/>
      <c r="B254" s="3"/>
      <c r="C254" s="2"/>
      <c r="D254" s="2"/>
      <c r="E254" s="2"/>
      <c r="F254" s="2"/>
      <c r="G254" s="2"/>
    </row>
    <row r="255" spans="1:7" ht="43.5" customHeight="1">
      <c r="A255" s="2"/>
      <c r="B255" s="3"/>
      <c r="C255" s="2"/>
      <c r="D255" s="2"/>
      <c r="E255" s="2"/>
      <c r="F255" s="2"/>
      <c r="G255" s="2"/>
    </row>
    <row r="256" spans="1:7" ht="43.5" customHeight="1">
      <c r="A256" s="2"/>
      <c r="B256" s="3"/>
      <c r="C256" s="2"/>
      <c r="D256" s="2"/>
      <c r="E256" s="2"/>
      <c r="F256" s="2"/>
      <c r="G256" s="2"/>
    </row>
    <row r="257" spans="1:7" ht="43.5" customHeight="1">
      <c r="A257" s="2"/>
      <c r="B257" s="3"/>
      <c r="C257" s="2"/>
      <c r="D257" s="2"/>
      <c r="E257" s="2"/>
      <c r="F257" s="2"/>
      <c r="G257" s="2"/>
    </row>
    <row r="258" spans="1:7" ht="43.5" customHeight="1">
      <c r="A258" s="2"/>
      <c r="B258" s="3"/>
      <c r="C258" s="2"/>
      <c r="D258" s="2"/>
      <c r="E258" s="2"/>
      <c r="F258" s="2"/>
      <c r="G258" s="2"/>
    </row>
    <row r="259" spans="1:7" ht="43.5" customHeight="1">
      <c r="A259" s="2"/>
      <c r="B259" s="3"/>
      <c r="C259" s="2"/>
      <c r="D259" s="2"/>
      <c r="E259" s="2"/>
      <c r="F259" s="2"/>
      <c r="G259" s="2"/>
    </row>
    <row r="260" spans="1:7" ht="43.5" customHeight="1">
      <c r="A260" s="2"/>
      <c r="B260" s="3"/>
      <c r="C260" s="2"/>
      <c r="D260" s="2"/>
      <c r="E260" s="2"/>
      <c r="F260" s="2"/>
      <c r="G260" s="2"/>
    </row>
    <row r="261" spans="1:7" ht="43.5" customHeight="1">
      <c r="A261" s="2"/>
      <c r="B261" s="3"/>
      <c r="C261" s="2"/>
      <c r="D261" s="2"/>
      <c r="E261" s="2"/>
      <c r="F261" s="2"/>
      <c r="G261" s="2"/>
    </row>
    <row r="262" spans="1:7" ht="43.5" customHeight="1">
      <c r="A262" s="2"/>
      <c r="B262" s="3"/>
      <c r="C262" s="2"/>
      <c r="D262" s="2"/>
      <c r="E262" s="2"/>
      <c r="F262" s="2"/>
      <c r="G262" s="2"/>
    </row>
    <row r="263" spans="1:7" ht="43.5" customHeight="1">
      <c r="A263" s="2"/>
      <c r="B263" s="3"/>
      <c r="C263" s="2"/>
      <c r="D263" s="2"/>
      <c r="E263" s="2"/>
      <c r="F263" s="2"/>
      <c r="G263" s="2"/>
    </row>
    <row r="264" spans="1:7" ht="43.5" customHeight="1">
      <c r="A264" s="2"/>
      <c r="B264" s="3"/>
      <c r="C264" s="2"/>
      <c r="D264" s="2"/>
      <c r="E264" s="2"/>
      <c r="F264" s="2"/>
      <c r="G264" s="2"/>
    </row>
    <row r="265" spans="1:7" ht="43.5" customHeight="1">
      <c r="A265" s="2"/>
      <c r="B265" s="3"/>
      <c r="C265" s="2"/>
      <c r="D265" s="2"/>
      <c r="E265" s="2"/>
      <c r="F265" s="2"/>
      <c r="G265" s="2"/>
    </row>
    <row r="266" spans="1:7" ht="43.5" customHeight="1">
      <c r="A266" s="2"/>
      <c r="B266" s="3"/>
      <c r="C266" s="2"/>
      <c r="D266" s="2"/>
      <c r="E266" s="2"/>
      <c r="F266" s="2"/>
      <c r="G266" s="2"/>
    </row>
    <row r="267" spans="1:7" ht="43.5" customHeight="1">
      <c r="A267" s="2"/>
      <c r="B267" s="3"/>
      <c r="C267" s="2"/>
      <c r="D267" s="2"/>
      <c r="E267" s="2"/>
      <c r="F267" s="2"/>
      <c r="G267" s="2"/>
    </row>
    <row r="268" spans="1:7" ht="43.5" customHeight="1">
      <c r="A268" s="2"/>
      <c r="B268" s="3"/>
      <c r="C268" s="2"/>
      <c r="D268" s="2"/>
      <c r="E268" s="2"/>
      <c r="F268" s="2"/>
      <c r="G268" s="2"/>
    </row>
    <row r="269" spans="1:7" ht="43.5" customHeight="1">
      <c r="A269" s="2"/>
      <c r="B269" s="3"/>
      <c r="C269" s="2"/>
      <c r="D269" s="2"/>
      <c r="E269" s="2"/>
      <c r="F269" s="2"/>
      <c r="G269" s="2"/>
    </row>
    <row r="270" spans="1:7" ht="43.5" customHeight="1">
      <c r="A270" s="2"/>
      <c r="B270" s="3"/>
      <c r="C270" s="2"/>
      <c r="D270" s="2"/>
      <c r="E270" s="2"/>
      <c r="F270" s="2"/>
      <c r="G270" s="2"/>
    </row>
    <row r="271" spans="1:7" ht="43.5" customHeight="1">
      <c r="A271" s="2"/>
      <c r="B271" s="3"/>
      <c r="C271" s="2"/>
      <c r="D271" s="2"/>
      <c r="E271" s="2"/>
      <c r="F271" s="2"/>
      <c r="G271" s="2"/>
    </row>
    <row r="272" spans="1:7" ht="43.5" customHeight="1">
      <c r="A272" s="2"/>
      <c r="B272" s="3"/>
      <c r="C272" s="2"/>
      <c r="D272" s="2"/>
      <c r="E272" s="2"/>
      <c r="F272" s="2"/>
      <c r="G272" s="2"/>
    </row>
    <row r="273" spans="1:7" ht="43.5" customHeight="1">
      <c r="A273" s="2"/>
      <c r="B273" s="3"/>
      <c r="C273" s="2"/>
      <c r="D273" s="2"/>
      <c r="E273" s="2"/>
      <c r="F273" s="2"/>
      <c r="G273" s="2"/>
    </row>
    <row r="274" spans="1:7" ht="43.5" customHeight="1">
      <c r="A274" s="2"/>
      <c r="B274" s="3"/>
      <c r="C274" s="2"/>
      <c r="D274" s="2"/>
      <c r="E274" s="2"/>
      <c r="F274" s="2"/>
      <c r="G274" s="2"/>
    </row>
    <row r="275" spans="1:7" ht="43.5" customHeight="1">
      <c r="A275" s="2"/>
      <c r="B275" s="3"/>
      <c r="C275" s="2"/>
      <c r="D275" s="2"/>
      <c r="E275" s="2"/>
      <c r="F275" s="2"/>
      <c r="G275" s="2"/>
    </row>
    <row r="276" spans="1:7" ht="43.5" customHeight="1">
      <c r="A276" s="2"/>
      <c r="B276" s="3"/>
      <c r="C276" s="2"/>
      <c r="D276" s="2"/>
      <c r="E276" s="2"/>
      <c r="F276" s="2"/>
      <c r="G276" s="2"/>
    </row>
    <row r="277" spans="1:7" ht="43.5" customHeight="1">
      <c r="A277" s="2"/>
      <c r="B277" s="3"/>
      <c r="C277" s="2"/>
      <c r="D277" s="2"/>
      <c r="E277" s="2"/>
      <c r="F277" s="2"/>
      <c r="G277" s="2"/>
    </row>
    <row r="278" spans="1:7" ht="43.5" customHeight="1">
      <c r="A278" s="2"/>
      <c r="B278" s="3"/>
      <c r="C278" s="2"/>
      <c r="D278" s="2"/>
      <c r="E278" s="2"/>
      <c r="F278" s="2"/>
      <c r="G278" s="2"/>
    </row>
    <row r="279" spans="1:7" ht="43.5" customHeight="1">
      <c r="A279" s="2"/>
      <c r="B279" s="3"/>
      <c r="C279" s="2"/>
      <c r="D279" s="2"/>
      <c r="E279" s="2"/>
      <c r="F279" s="2"/>
      <c r="G279" s="2"/>
    </row>
    <row r="280" spans="1:7" ht="43.5" customHeight="1">
      <c r="A280" s="2"/>
      <c r="B280" s="3"/>
      <c r="C280" s="2"/>
      <c r="D280" s="2"/>
      <c r="E280" s="2"/>
      <c r="F280" s="2"/>
      <c r="G280" s="2"/>
    </row>
    <row r="281" spans="1:7" ht="43.5" customHeight="1">
      <c r="A281" s="2"/>
      <c r="B281" s="3"/>
      <c r="C281" s="2"/>
      <c r="D281" s="2"/>
      <c r="E281" s="2"/>
      <c r="F281" s="2"/>
      <c r="G281" s="2"/>
    </row>
    <row r="282" spans="1:7" ht="43.5" customHeight="1">
      <c r="A282" s="2"/>
      <c r="B282" s="3"/>
      <c r="C282" s="2"/>
      <c r="D282" s="2"/>
      <c r="E282" s="2"/>
      <c r="F282" s="2"/>
      <c r="G282" s="2"/>
    </row>
    <row r="283" spans="1:7" ht="43.5" customHeight="1">
      <c r="A283" s="2"/>
      <c r="B283" s="3"/>
      <c r="C283" s="2"/>
      <c r="D283" s="2"/>
      <c r="E283" s="2"/>
      <c r="F283" s="2"/>
      <c r="G283" s="2"/>
    </row>
    <row r="284" spans="1:7" ht="43.5" customHeight="1">
      <c r="A284" s="2"/>
      <c r="B284" s="3"/>
      <c r="C284" s="2"/>
      <c r="D284" s="2"/>
      <c r="E284" s="2"/>
      <c r="F284" s="2"/>
      <c r="G284" s="2"/>
    </row>
    <row r="285" spans="1:7" ht="43.5" customHeight="1">
      <c r="A285" s="2"/>
      <c r="B285" s="3"/>
      <c r="C285" s="2"/>
      <c r="D285" s="2"/>
      <c r="E285" s="2"/>
      <c r="F285" s="2"/>
      <c r="G285" s="2"/>
    </row>
    <row r="286" spans="1:7" ht="43.5" customHeight="1">
      <c r="A286" s="2"/>
      <c r="B286" s="3"/>
      <c r="C286" s="2"/>
      <c r="D286" s="2"/>
      <c r="E286" s="2"/>
      <c r="F286" s="2"/>
      <c r="G286" s="2"/>
    </row>
    <row r="287" spans="1:7" ht="43.5" customHeight="1">
      <c r="A287" s="2"/>
      <c r="B287" s="3"/>
      <c r="C287" s="2"/>
      <c r="D287" s="2"/>
      <c r="E287" s="2"/>
      <c r="F287" s="2"/>
      <c r="G287" s="2"/>
    </row>
    <row r="288" spans="1:7" ht="43.5" customHeight="1">
      <c r="A288" s="2"/>
      <c r="B288" s="3"/>
      <c r="C288" s="2"/>
      <c r="D288" s="2"/>
      <c r="E288" s="2"/>
      <c r="F288" s="2"/>
      <c r="G288" s="2"/>
    </row>
    <row r="289" spans="1:7" ht="43.5" customHeight="1">
      <c r="A289" s="2"/>
      <c r="B289" s="3"/>
      <c r="C289" s="2"/>
      <c r="D289" s="2"/>
      <c r="E289" s="2"/>
      <c r="F289" s="2"/>
      <c r="G289" s="2"/>
    </row>
    <row r="290" spans="1:7" ht="43.5" customHeight="1">
      <c r="A290" s="2"/>
      <c r="B290" s="3"/>
      <c r="C290" s="2"/>
      <c r="D290" s="2"/>
      <c r="E290" s="2"/>
      <c r="F290" s="2"/>
      <c r="G290" s="2"/>
    </row>
    <row r="291" spans="1:7" ht="43.5" customHeight="1">
      <c r="A291" s="2"/>
      <c r="B291" s="3"/>
      <c r="C291" s="2"/>
      <c r="D291" s="2"/>
      <c r="E291" s="2"/>
      <c r="F291" s="2"/>
      <c r="G291" s="2"/>
    </row>
    <row r="292" spans="1:7" ht="43.5" customHeight="1">
      <c r="A292" s="2"/>
      <c r="B292" s="3"/>
      <c r="C292" s="2"/>
      <c r="D292" s="2"/>
      <c r="E292" s="2"/>
      <c r="F292" s="2"/>
      <c r="G292" s="2"/>
    </row>
    <row r="293" spans="1:7" ht="43.5" customHeight="1">
      <c r="A293" s="2"/>
      <c r="B293" s="3"/>
      <c r="C293" s="2"/>
      <c r="D293" s="2"/>
      <c r="E293" s="2"/>
      <c r="F293" s="2"/>
      <c r="G293" s="2"/>
    </row>
    <row r="294" spans="1:7" ht="43.5" customHeight="1">
      <c r="A294" s="2"/>
      <c r="B294" s="3"/>
      <c r="C294" s="2"/>
      <c r="D294" s="2"/>
      <c r="E294" s="2"/>
      <c r="F294" s="2"/>
      <c r="G294" s="2"/>
    </row>
    <row r="295" spans="1:7" ht="43.5" customHeight="1">
      <c r="A295" s="2"/>
      <c r="B295" s="3"/>
      <c r="C295" s="2"/>
      <c r="D295" s="2"/>
      <c r="E295" s="2"/>
      <c r="F295" s="2"/>
      <c r="G295" s="2"/>
    </row>
    <row r="296" spans="1:7" ht="43.5" customHeight="1">
      <c r="A296" s="2"/>
      <c r="B296" s="3"/>
      <c r="C296" s="2"/>
      <c r="D296" s="2"/>
      <c r="E296" s="2"/>
      <c r="F296" s="2"/>
      <c r="G296" s="2"/>
    </row>
    <row r="297" spans="1:7" ht="43.5" customHeight="1">
      <c r="A297" s="2"/>
      <c r="B297" s="3"/>
      <c r="C297" s="2"/>
      <c r="D297" s="2"/>
      <c r="E297" s="2"/>
      <c r="F297" s="2"/>
      <c r="G297" s="2"/>
    </row>
    <row r="298" spans="1:7" ht="43.5" customHeight="1">
      <c r="A298" s="2"/>
      <c r="B298" s="3"/>
      <c r="C298" s="2"/>
      <c r="D298" s="2"/>
      <c r="E298" s="2"/>
      <c r="F298" s="2"/>
      <c r="G298" s="2"/>
    </row>
    <row r="299" spans="1:7" ht="43.5" customHeight="1">
      <c r="A299" s="2"/>
      <c r="B299" s="3"/>
      <c r="C299" s="2"/>
      <c r="D299" s="2"/>
      <c r="E299" s="2"/>
      <c r="F299" s="2"/>
      <c r="G299" s="2"/>
    </row>
    <row r="300" spans="1:7" ht="43.5" customHeight="1">
      <c r="A300" s="2"/>
      <c r="B300" s="3"/>
      <c r="C300" s="2"/>
      <c r="D300" s="2"/>
      <c r="E300" s="2"/>
      <c r="F300" s="2"/>
      <c r="G300" s="2"/>
    </row>
    <row r="301" spans="1:7" ht="43.5" customHeight="1">
      <c r="A301" s="2"/>
      <c r="B301" s="3"/>
      <c r="C301" s="2"/>
      <c r="D301" s="2"/>
      <c r="E301" s="2"/>
      <c r="F301" s="2"/>
      <c r="G301" s="2"/>
    </row>
    <row r="302" spans="1:7" ht="43.5" customHeight="1">
      <c r="A302" s="2"/>
      <c r="B302" s="3"/>
      <c r="C302" s="2"/>
      <c r="D302" s="2"/>
      <c r="E302" s="2"/>
      <c r="F302" s="2"/>
      <c r="G302" s="2"/>
    </row>
    <row r="303" spans="1:7" ht="43.5" customHeight="1">
      <c r="A303" s="2"/>
      <c r="B303" s="3"/>
      <c r="C303" s="2"/>
      <c r="D303" s="2"/>
      <c r="E303" s="2"/>
      <c r="F303" s="2"/>
      <c r="G303" s="2"/>
    </row>
    <row r="304" spans="1:7" ht="43.5" customHeight="1">
      <c r="A304" s="2"/>
      <c r="B304" s="3"/>
      <c r="C304" s="2"/>
      <c r="D304" s="2"/>
      <c r="E304" s="2"/>
      <c r="F304" s="2"/>
      <c r="G304" s="2"/>
    </row>
    <row r="305" spans="1:7" ht="43.5" customHeight="1">
      <c r="A305" s="2"/>
      <c r="B305" s="3"/>
      <c r="C305" s="2"/>
      <c r="D305" s="2"/>
      <c r="E305" s="2"/>
      <c r="F305" s="2"/>
      <c r="G305" s="2"/>
    </row>
    <row r="306" spans="1:7" ht="43.5" customHeight="1">
      <c r="A306" s="2"/>
      <c r="B306" s="3"/>
      <c r="C306" s="2"/>
      <c r="D306" s="2"/>
      <c r="E306" s="2"/>
      <c r="F306" s="2"/>
      <c r="G306" s="2"/>
    </row>
    <row r="307" spans="1:7" ht="43.5" customHeight="1">
      <c r="A307" s="2"/>
      <c r="B307" s="3"/>
      <c r="C307" s="2"/>
      <c r="D307" s="2"/>
      <c r="E307" s="2"/>
      <c r="F307" s="2"/>
      <c r="G307" s="2"/>
    </row>
    <row r="308" spans="1:7" ht="43.5" customHeight="1">
      <c r="A308" s="2"/>
      <c r="B308" s="3"/>
      <c r="C308" s="2"/>
      <c r="D308" s="2"/>
      <c r="E308" s="2"/>
      <c r="F308" s="2"/>
      <c r="G308" s="2"/>
    </row>
    <row r="309" spans="1:7" ht="43.5" customHeight="1">
      <c r="A309" s="2"/>
      <c r="B309" s="3"/>
      <c r="C309" s="2"/>
      <c r="D309" s="2"/>
      <c r="E309" s="2"/>
      <c r="F309" s="2"/>
      <c r="G309" s="2"/>
    </row>
    <row r="310" spans="1:7" ht="43.5" customHeight="1">
      <c r="A310" s="2"/>
      <c r="B310" s="3"/>
      <c r="C310" s="2"/>
      <c r="D310" s="2"/>
      <c r="E310" s="2"/>
      <c r="F310" s="2"/>
      <c r="G310" s="2"/>
    </row>
    <row r="311" spans="1:7" ht="43.5" customHeight="1">
      <c r="A311" s="2"/>
      <c r="B311" s="3"/>
      <c r="C311" s="2"/>
      <c r="D311" s="2"/>
      <c r="E311" s="2"/>
      <c r="F311" s="2"/>
      <c r="G311" s="2"/>
    </row>
    <row r="312" spans="1:7" ht="43.5" customHeight="1">
      <c r="A312" s="2"/>
      <c r="B312" s="2"/>
      <c r="C312" s="2"/>
      <c r="D312" s="2"/>
      <c r="E312" s="2"/>
      <c r="F312" s="2"/>
      <c r="G312" s="2"/>
    </row>
    <row r="313" spans="1:7" ht="43.5" customHeight="1">
      <c r="A313" s="2"/>
      <c r="B313" s="2"/>
      <c r="C313" s="2"/>
      <c r="D313" s="2"/>
      <c r="E313" s="2"/>
      <c r="F313" s="2"/>
      <c r="G313" s="2"/>
    </row>
    <row r="314" spans="1:7" ht="43.5" customHeight="1">
      <c r="A314" s="2"/>
      <c r="B314" s="2"/>
      <c r="C314" s="2"/>
      <c r="D314" s="2"/>
      <c r="E314" s="2"/>
      <c r="F314" s="2"/>
      <c r="G314" s="2"/>
    </row>
    <row r="315" spans="1:7" ht="43.5" customHeight="1">
      <c r="A315" s="2"/>
      <c r="B315" s="2"/>
      <c r="C315" s="2"/>
      <c r="D315" s="2"/>
      <c r="E315" s="2"/>
      <c r="F315" s="2"/>
      <c r="G315" s="2"/>
    </row>
    <row r="316" spans="1:7" ht="43.5" customHeight="1">
      <c r="A316" s="2"/>
      <c r="B316" s="2"/>
      <c r="C316" s="2"/>
      <c r="D316" s="2"/>
      <c r="E316" s="2"/>
      <c r="F316" s="2"/>
      <c r="G316" s="2"/>
    </row>
    <row r="317" spans="1:7" ht="43.5" customHeight="1">
      <c r="A317" s="2"/>
      <c r="B317" s="2"/>
      <c r="C317" s="2"/>
      <c r="D317" s="2"/>
      <c r="E317" s="2"/>
      <c r="F317" s="2"/>
      <c r="G317" s="2"/>
    </row>
    <row r="318" spans="1:7" ht="43.5" customHeight="1">
      <c r="A318" s="2"/>
      <c r="B318" s="2"/>
      <c r="C318" s="2"/>
      <c r="D318" s="2"/>
      <c r="E318" s="2"/>
      <c r="F318" s="2"/>
      <c r="G318" s="2"/>
    </row>
    <row r="319" spans="1:7" ht="43.5" customHeight="1">
      <c r="A319" s="2"/>
      <c r="B319" s="2"/>
      <c r="C319" s="2"/>
      <c r="D319" s="2"/>
      <c r="E319" s="2"/>
      <c r="F319" s="2"/>
      <c r="G319" s="2"/>
    </row>
    <row r="320" spans="1:7" ht="43.5" customHeight="1">
      <c r="A320" s="2"/>
      <c r="B320" s="2"/>
      <c r="C320" s="2"/>
      <c r="D320" s="2"/>
      <c r="E320" s="2"/>
      <c r="F320" s="2"/>
      <c r="G320" s="2"/>
    </row>
    <row r="321" spans="1:7" ht="43.5" customHeight="1">
      <c r="A321" s="2"/>
      <c r="B321" s="2"/>
      <c r="C321" s="2"/>
      <c r="D321" s="2"/>
      <c r="E321" s="2"/>
      <c r="F321" s="2"/>
      <c r="G321" s="2"/>
    </row>
    <row r="322" spans="1:7" ht="43.5" customHeight="1">
      <c r="A322" s="2"/>
      <c r="B322" s="2"/>
      <c r="C322" s="2"/>
      <c r="D322" s="2"/>
      <c r="E322" s="2"/>
      <c r="F322" s="2"/>
      <c r="G322" s="2"/>
    </row>
    <row r="323" spans="1:7" ht="43.5" customHeight="1">
      <c r="A323" s="2"/>
      <c r="B323" s="2"/>
      <c r="C323" s="2"/>
      <c r="D323" s="2"/>
      <c r="E323" s="2"/>
      <c r="F323" s="2"/>
      <c r="G323" s="2"/>
    </row>
    <row r="324" spans="1:7" ht="43.5" customHeight="1">
      <c r="A324" s="2"/>
      <c r="B324" s="2"/>
      <c r="C324" s="2"/>
      <c r="D324" s="2"/>
      <c r="E324" s="2"/>
      <c r="F324" s="2"/>
      <c r="G324" s="2"/>
    </row>
    <row r="325" spans="1:7" ht="43.5" customHeight="1">
      <c r="A325" s="2"/>
      <c r="B325" s="2"/>
      <c r="C325" s="2"/>
      <c r="D325" s="2"/>
      <c r="E325" s="2"/>
      <c r="F325" s="2"/>
      <c r="G325" s="2"/>
    </row>
    <row r="326" spans="1:7" ht="43.5" customHeight="1">
      <c r="A326" s="2"/>
      <c r="B326" s="2"/>
      <c r="C326" s="2"/>
      <c r="D326" s="2"/>
      <c r="E326" s="2"/>
      <c r="F326" s="2"/>
      <c r="G326" s="2"/>
    </row>
    <row r="327" spans="1:7" ht="43.5" customHeight="1">
      <c r="A327" s="2"/>
      <c r="B327" s="2"/>
      <c r="C327" s="2"/>
      <c r="D327" s="2"/>
      <c r="E327" s="2"/>
      <c r="F327" s="2"/>
      <c r="G327" s="2"/>
    </row>
    <row r="328" spans="1:7" ht="43.5" customHeight="1">
      <c r="A328" s="2"/>
      <c r="B328" s="2"/>
      <c r="C328" s="2"/>
      <c r="D328" s="2"/>
      <c r="E328" s="2"/>
      <c r="F328" s="2"/>
      <c r="G328" s="2"/>
    </row>
    <row r="329" spans="1:7" ht="43.5" customHeight="1">
      <c r="A329" s="2"/>
      <c r="B329" s="2"/>
      <c r="C329" s="2"/>
      <c r="D329" s="2"/>
      <c r="E329" s="2"/>
      <c r="F329" s="2"/>
      <c r="G329" s="2"/>
    </row>
    <row r="330" spans="1:7" ht="43.5" customHeight="1">
      <c r="A330" s="2"/>
      <c r="B330" s="2"/>
      <c r="C330" s="2"/>
      <c r="D330" s="2"/>
      <c r="E330" s="2"/>
      <c r="F330" s="2"/>
      <c r="G330" s="2"/>
    </row>
    <row r="331" spans="1:7" ht="43.5" customHeight="1">
      <c r="A331" s="2"/>
      <c r="B331" s="2"/>
      <c r="C331" s="2"/>
      <c r="D331" s="2"/>
      <c r="E331" s="2"/>
      <c r="F331" s="2"/>
      <c r="G331" s="2"/>
    </row>
    <row r="332" spans="1:7" ht="43.5" customHeight="1">
      <c r="A332" s="2"/>
      <c r="B332" s="2"/>
      <c r="C332" s="2"/>
      <c r="D332" s="2"/>
      <c r="E332" s="2"/>
      <c r="F332" s="2"/>
      <c r="G332" s="2"/>
    </row>
    <row r="333" spans="1:7" ht="43.5" customHeight="1">
      <c r="A333" s="2"/>
      <c r="B333" s="2"/>
      <c r="C333" s="2"/>
      <c r="D333" s="2"/>
      <c r="E333" s="2"/>
      <c r="F333" s="2"/>
      <c r="G333" s="2"/>
    </row>
    <row r="334" spans="1:7" ht="43.5" customHeight="1">
      <c r="A334" s="2"/>
      <c r="B334" s="2"/>
      <c r="C334" s="2"/>
      <c r="D334" s="2"/>
      <c r="E334" s="2"/>
      <c r="F334" s="2"/>
      <c r="G334" s="2"/>
    </row>
    <row r="335" spans="1:7" ht="43.5" customHeight="1">
      <c r="A335" s="2"/>
      <c r="B335" s="2"/>
      <c r="C335" s="2"/>
      <c r="D335" s="2"/>
      <c r="E335" s="2"/>
      <c r="F335" s="2"/>
      <c r="G335" s="2"/>
    </row>
    <row r="336" spans="1:7" ht="43.5" customHeight="1">
      <c r="A336" s="2"/>
      <c r="B336" s="2"/>
      <c r="C336" s="2"/>
      <c r="D336" s="2"/>
      <c r="E336" s="2"/>
      <c r="F336" s="2"/>
      <c r="G336" s="2"/>
    </row>
    <row r="337" spans="1:7" ht="43.5" customHeight="1">
      <c r="A337" s="2"/>
      <c r="B337" s="2"/>
      <c r="C337" s="2"/>
      <c r="D337" s="2"/>
      <c r="E337" s="2"/>
      <c r="F337" s="2"/>
      <c r="G337" s="2"/>
    </row>
    <row r="338" spans="1:7" ht="43.5" customHeight="1">
      <c r="A338" s="2"/>
      <c r="B338" s="2"/>
      <c r="C338" s="2"/>
      <c r="D338" s="2"/>
      <c r="E338" s="2"/>
      <c r="F338" s="2"/>
      <c r="G338" s="2"/>
    </row>
    <row r="339" spans="1:7" ht="43.5" customHeight="1">
      <c r="A339" s="2"/>
      <c r="B339" s="2"/>
      <c r="C339" s="2"/>
      <c r="D339" s="2"/>
      <c r="E339" s="2"/>
      <c r="F339" s="2"/>
      <c r="G339" s="2"/>
    </row>
    <row r="340" spans="1:7" ht="43.5" customHeight="1">
      <c r="A340" s="2"/>
      <c r="B340" s="2"/>
      <c r="C340" s="2"/>
      <c r="D340" s="2"/>
      <c r="E340" s="2"/>
      <c r="F340" s="2"/>
      <c r="G340" s="2"/>
    </row>
    <row r="341" spans="1:7" ht="43.5" customHeight="1">
      <c r="A341" s="2"/>
      <c r="B341" s="2"/>
      <c r="C341" s="2"/>
      <c r="D341" s="2"/>
      <c r="E341" s="2"/>
      <c r="F341" s="2"/>
      <c r="G341" s="2"/>
    </row>
    <row r="342" spans="1:7" ht="43.5" customHeight="1">
      <c r="A342" s="2"/>
      <c r="B342" s="2"/>
      <c r="C342" s="2"/>
      <c r="D342" s="2"/>
      <c r="E342" s="2"/>
      <c r="F342" s="2"/>
      <c r="G342" s="2"/>
    </row>
    <row r="343" spans="1:7" ht="43.5" customHeight="1">
      <c r="A343" s="2"/>
      <c r="B343" s="2"/>
      <c r="C343" s="2"/>
      <c r="D343" s="2"/>
      <c r="E343" s="2"/>
      <c r="F343" s="2"/>
      <c r="G343" s="2"/>
    </row>
    <row r="344" spans="1:7" ht="43.5" customHeight="1">
      <c r="A344" s="2"/>
      <c r="B344" s="2"/>
      <c r="C344" s="2"/>
      <c r="D344" s="2"/>
      <c r="E344" s="2"/>
      <c r="F344" s="2"/>
      <c r="G344" s="2"/>
    </row>
    <row r="345" spans="1:7" ht="43.5" customHeight="1">
      <c r="A345" s="2"/>
      <c r="B345" s="2"/>
      <c r="C345" s="2"/>
      <c r="D345" s="2"/>
      <c r="E345" s="2"/>
      <c r="F345" s="2"/>
      <c r="G345" s="2"/>
    </row>
    <row r="346" spans="1:7" ht="43.5" customHeight="1">
      <c r="A346" s="2"/>
      <c r="B346" s="2"/>
      <c r="C346" s="2"/>
      <c r="D346" s="2"/>
      <c r="E346" s="2"/>
      <c r="F346" s="2"/>
      <c r="G346" s="2"/>
    </row>
    <row r="347" spans="1:7" ht="43.5" customHeight="1">
      <c r="A347" s="2"/>
      <c r="B347" s="2"/>
      <c r="C347" s="2"/>
      <c r="D347" s="2"/>
      <c r="E347" s="2"/>
      <c r="F347" s="2"/>
      <c r="G347" s="2"/>
    </row>
    <row r="348" spans="1:7" ht="43.5" customHeight="1">
      <c r="A348" s="2"/>
      <c r="B348" s="2"/>
      <c r="C348" s="2"/>
      <c r="D348" s="2"/>
      <c r="E348" s="2"/>
      <c r="F348" s="2"/>
      <c r="G348" s="2"/>
    </row>
    <row r="349" spans="1:7" ht="43.5" customHeight="1">
      <c r="A349" s="2"/>
      <c r="B349" s="2"/>
      <c r="C349" s="2"/>
      <c r="D349" s="2"/>
      <c r="E349" s="2"/>
      <c r="F349" s="2"/>
      <c r="G349" s="2"/>
    </row>
    <row r="350" spans="1:7" ht="43.5" customHeight="1">
      <c r="A350" s="2"/>
      <c r="B350" s="2"/>
      <c r="C350" s="2"/>
      <c r="D350" s="2"/>
      <c r="E350" s="2"/>
      <c r="F350" s="2"/>
      <c r="G350" s="2"/>
    </row>
    <row r="351" spans="1:7" ht="43.5" customHeight="1">
      <c r="A351" s="2"/>
      <c r="B351" s="2"/>
      <c r="C351" s="2"/>
      <c r="D351" s="2"/>
      <c r="E351" s="2"/>
      <c r="F351" s="2"/>
      <c r="G351" s="2"/>
    </row>
    <row r="352" spans="1:7" ht="43.5" customHeight="1">
      <c r="A352" s="2"/>
      <c r="B352" s="2"/>
      <c r="C352" s="2"/>
      <c r="D352" s="2"/>
      <c r="E352" s="2"/>
      <c r="F352" s="2"/>
      <c r="G352" s="2"/>
    </row>
    <row r="353" spans="1:7" ht="43.5" customHeight="1">
      <c r="A353" s="2"/>
      <c r="B353" s="2"/>
      <c r="C353" s="2"/>
      <c r="D353" s="2"/>
      <c r="E353" s="2"/>
      <c r="F353" s="2"/>
      <c r="G353" s="2"/>
    </row>
    <row r="354" spans="1:7" ht="43.5" customHeight="1">
      <c r="A354" s="2"/>
      <c r="B354" s="2"/>
      <c r="C354" s="2"/>
      <c r="D354" s="2"/>
      <c r="E354" s="2"/>
      <c r="F354" s="2"/>
      <c r="G354" s="2"/>
    </row>
    <row r="355" spans="1:7" ht="43.5" customHeight="1">
      <c r="A355" s="2"/>
      <c r="B355" s="2"/>
      <c r="C355" s="2"/>
      <c r="D355" s="2"/>
      <c r="E355" s="2"/>
      <c r="F355" s="2"/>
      <c r="G355" s="2"/>
    </row>
    <row r="356" spans="1:7" ht="43.5" customHeight="1">
      <c r="A356" s="2"/>
      <c r="B356" s="2"/>
      <c r="C356" s="2"/>
      <c r="D356" s="2"/>
      <c r="E356" s="2"/>
      <c r="F356" s="2"/>
      <c r="G356" s="2"/>
    </row>
    <row r="357" spans="1:7" ht="43.5" customHeight="1">
      <c r="A357" s="2"/>
      <c r="B357" s="2"/>
      <c r="C357" s="2"/>
      <c r="D357" s="2"/>
      <c r="E357" s="2"/>
      <c r="F357" s="2"/>
      <c r="G357" s="2"/>
    </row>
    <row r="358" spans="1:7" ht="43.5" customHeight="1">
      <c r="A358" s="2"/>
      <c r="B358" s="2"/>
      <c r="C358" s="2"/>
      <c r="D358" s="2"/>
      <c r="E358" s="2"/>
      <c r="F358" s="2"/>
      <c r="G358" s="2"/>
    </row>
    <row r="359" spans="1:7" ht="43.5" customHeight="1">
      <c r="A359" s="2"/>
      <c r="B359" s="2"/>
      <c r="C359" s="2"/>
      <c r="D359" s="2"/>
      <c r="E359" s="2"/>
      <c r="F359" s="2"/>
      <c r="G359" s="2"/>
    </row>
    <row r="360" spans="1:7" ht="43.5" customHeight="1">
      <c r="A360" s="2"/>
      <c r="B360" s="2"/>
      <c r="C360" s="2"/>
      <c r="D360" s="2"/>
      <c r="E360" s="2"/>
      <c r="F360" s="2"/>
      <c r="G360" s="2"/>
    </row>
    <row r="361" spans="1:7" ht="43.5" customHeight="1">
      <c r="A361" s="2"/>
      <c r="B361" s="2"/>
      <c r="C361" s="2"/>
      <c r="D361" s="2"/>
      <c r="E361" s="2"/>
      <c r="F361" s="2"/>
      <c r="G361" s="2"/>
    </row>
    <row r="362" spans="1:7" ht="43.5" customHeight="1">
      <c r="A362" s="2"/>
      <c r="B362" s="2"/>
      <c r="C362" s="2"/>
      <c r="D362" s="2"/>
      <c r="E362" s="2"/>
      <c r="F362" s="2"/>
      <c r="G362" s="2"/>
    </row>
    <row r="363" spans="1:7" ht="43.5" customHeight="1">
      <c r="A363" s="2"/>
      <c r="B363" s="2"/>
      <c r="C363" s="2"/>
      <c r="D363" s="2"/>
      <c r="E363" s="2"/>
      <c r="F363" s="2"/>
      <c r="G363" s="2"/>
    </row>
    <row r="364" spans="1:7" ht="43.5" customHeight="1">
      <c r="A364" s="2"/>
      <c r="B364" s="2"/>
      <c r="C364" s="2"/>
      <c r="D364" s="2"/>
      <c r="E364" s="2"/>
      <c r="F364" s="2"/>
      <c r="G364" s="2"/>
    </row>
    <row r="365" spans="1:7" ht="43.5" customHeight="1">
      <c r="A365" s="2"/>
      <c r="B365" s="2"/>
      <c r="C365" s="2"/>
      <c r="D365" s="2"/>
      <c r="E365" s="2"/>
      <c r="F365" s="2"/>
      <c r="G365" s="2"/>
    </row>
    <row r="366" spans="1:7" ht="43.5" customHeight="1">
      <c r="A366" s="2"/>
      <c r="B366" s="2"/>
      <c r="C366" s="2"/>
      <c r="D366" s="2"/>
      <c r="E366" s="2"/>
      <c r="F366" s="2"/>
      <c r="G366" s="2"/>
    </row>
    <row r="367" spans="1:7" ht="43.5" customHeight="1">
      <c r="A367" s="2"/>
      <c r="B367" s="2"/>
      <c r="C367" s="2"/>
      <c r="D367" s="2"/>
      <c r="E367" s="2"/>
      <c r="F367" s="2"/>
      <c r="G367" s="2"/>
    </row>
    <row r="368" spans="1:7" ht="43.5" customHeight="1">
      <c r="A368" s="2"/>
      <c r="B368" s="2"/>
      <c r="C368" s="2"/>
      <c r="D368" s="2"/>
      <c r="E368" s="2"/>
      <c r="F368" s="2"/>
      <c r="G368" s="2"/>
    </row>
    <row r="369" spans="1:7" ht="43.5" customHeight="1">
      <c r="A369" s="2"/>
      <c r="B369" s="2"/>
      <c r="C369" s="2"/>
      <c r="D369" s="2"/>
      <c r="E369" s="2"/>
      <c r="F369" s="2"/>
      <c r="G369" s="2"/>
    </row>
    <row r="370" spans="1:7" ht="43.5" customHeight="1">
      <c r="A370" s="2"/>
      <c r="B370" s="2"/>
      <c r="C370" s="2"/>
      <c r="D370" s="2"/>
      <c r="E370" s="2"/>
      <c r="F370" s="2"/>
      <c r="G370" s="2"/>
    </row>
    <row r="371" spans="1:7" ht="43.5" customHeight="1">
      <c r="A371" s="2"/>
      <c r="B371" s="2"/>
      <c r="C371" s="2"/>
      <c r="D371" s="2"/>
      <c r="E371" s="2"/>
      <c r="F371" s="2"/>
      <c r="G371" s="2"/>
    </row>
    <row r="372" spans="1:7" ht="43.5" customHeight="1">
      <c r="A372" s="2"/>
      <c r="B372" s="2"/>
      <c r="C372" s="2"/>
      <c r="D372" s="2"/>
      <c r="E372" s="2"/>
      <c r="F372" s="2"/>
      <c r="G372" s="2"/>
    </row>
    <row r="373" spans="1:7" ht="43.5" customHeight="1">
      <c r="A373" s="2"/>
      <c r="B373" s="2"/>
      <c r="C373" s="2"/>
      <c r="D373" s="2"/>
      <c r="E373" s="2"/>
      <c r="F373" s="2"/>
      <c r="G373" s="2"/>
    </row>
    <row r="374" spans="1:7" ht="43.5" customHeight="1">
      <c r="A374" s="2"/>
      <c r="B374" s="2"/>
      <c r="C374" s="2"/>
      <c r="D374" s="2"/>
      <c r="E374" s="2"/>
      <c r="F374" s="2"/>
      <c r="G374" s="2"/>
    </row>
    <row r="375" spans="1:7" ht="43.5" customHeight="1">
      <c r="A375" s="2"/>
      <c r="B375" s="2"/>
      <c r="C375" s="2"/>
      <c r="D375" s="2"/>
      <c r="E375" s="2"/>
      <c r="F375" s="2"/>
      <c r="G375" s="2"/>
    </row>
    <row r="376" spans="1:7" ht="43.5" customHeight="1">
      <c r="A376" s="2"/>
      <c r="B376" s="2"/>
      <c r="C376" s="2"/>
      <c r="D376" s="2"/>
      <c r="E376" s="2"/>
      <c r="F376" s="2"/>
      <c r="G376" s="2"/>
    </row>
    <row r="377" spans="1:7" ht="43.5" customHeight="1">
      <c r="A377" s="2"/>
      <c r="B377" s="2"/>
      <c r="C377" s="2"/>
      <c r="D377" s="2"/>
      <c r="E377" s="2"/>
      <c r="F377" s="2"/>
      <c r="G377" s="2"/>
    </row>
    <row r="378" spans="1:7" ht="43.5" customHeight="1">
      <c r="A378" s="2"/>
      <c r="B378" s="2"/>
      <c r="C378" s="2"/>
      <c r="D378" s="2"/>
      <c r="E378" s="2"/>
      <c r="F378" s="2"/>
      <c r="G378" s="2"/>
    </row>
    <row r="379" spans="1:7" ht="43.5" customHeight="1">
      <c r="A379" s="2"/>
      <c r="B379" s="2"/>
      <c r="C379" s="2"/>
      <c r="D379" s="2"/>
      <c r="E379" s="2"/>
      <c r="F379" s="2"/>
      <c r="G379" s="2"/>
    </row>
    <row r="380" spans="1:7" ht="43.5" customHeight="1">
      <c r="A380" s="2"/>
      <c r="B380" s="2"/>
      <c r="C380" s="2"/>
      <c r="D380" s="2"/>
      <c r="E380" s="2"/>
      <c r="F380" s="2"/>
      <c r="G380" s="2"/>
    </row>
    <row r="381" spans="1:7" ht="43.5" customHeight="1">
      <c r="A381" s="2"/>
      <c r="B381" s="2"/>
      <c r="C381" s="2"/>
      <c r="D381" s="2"/>
      <c r="E381" s="2"/>
      <c r="F381" s="2"/>
      <c r="G381" s="2"/>
    </row>
    <row r="382" spans="1:7" ht="43.5" customHeight="1">
      <c r="A382" s="2"/>
      <c r="B382" s="2"/>
      <c r="C382" s="2"/>
      <c r="D382" s="2"/>
      <c r="E382" s="2"/>
      <c r="F382" s="2"/>
      <c r="G382" s="2"/>
    </row>
    <row r="383" spans="1:7" ht="43.5" customHeight="1">
      <c r="A383" s="2"/>
      <c r="B383" s="2"/>
      <c r="C383" s="2"/>
      <c r="D383" s="2"/>
      <c r="E383" s="2"/>
      <c r="F383" s="2"/>
      <c r="G383" s="2"/>
    </row>
    <row r="384" spans="1:7" ht="43.5" customHeight="1">
      <c r="A384" s="2"/>
      <c r="B384" s="2"/>
      <c r="C384" s="2"/>
      <c r="D384" s="2"/>
      <c r="E384" s="2"/>
      <c r="F384" s="2"/>
      <c r="G384" s="2"/>
    </row>
    <row r="385" spans="1:7" ht="43.5" customHeight="1">
      <c r="A385" s="2"/>
      <c r="B385" s="2"/>
      <c r="C385" s="2"/>
      <c r="D385" s="2"/>
      <c r="E385" s="2"/>
      <c r="F385" s="2"/>
      <c r="G385" s="2"/>
    </row>
    <row r="386" spans="1:7" ht="43.5" customHeight="1">
      <c r="A386" s="2"/>
      <c r="B386" s="2"/>
      <c r="C386" s="2"/>
      <c r="D386" s="2"/>
      <c r="E386" s="2"/>
      <c r="F386" s="2"/>
      <c r="G386" s="2"/>
    </row>
    <row r="387" spans="1:7" ht="43.5" customHeight="1">
      <c r="A387" s="2"/>
      <c r="B387" s="2"/>
      <c r="C387" s="2"/>
      <c r="D387" s="2"/>
      <c r="E387" s="2"/>
      <c r="F387" s="2"/>
      <c r="G387" s="2"/>
    </row>
    <row r="388" spans="1:7" ht="43.5" customHeight="1">
      <c r="A388" s="2"/>
      <c r="B388" s="2"/>
      <c r="C388" s="2"/>
      <c r="D388" s="2"/>
      <c r="E388" s="2"/>
      <c r="F388" s="2"/>
      <c r="G388" s="2"/>
    </row>
    <row r="389" spans="1:7" ht="43.5" customHeight="1">
      <c r="A389" s="2"/>
      <c r="B389" s="2"/>
      <c r="C389" s="2"/>
      <c r="D389" s="2"/>
      <c r="E389" s="2"/>
      <c r="F389" s="2"/>
      <c r="G389" s="2"/>
    </row>
    <row r="390" spans="1:7" ht="43.5" customHeight="1">
      <c r="A390" s="2"/>
      <c r="B390" s="2"/>
      <c r="C390" s="2"/>
      <c r="D390" s="2"/>
      <c r="E390" s="2"/>
      <c r="F390" s="2"/>
      <c r="G390" s="2"/>
    </row>
    <row r="391" spans="1:7" ht="43.5" customHeight="1">
      <c r="A391" s="2"/>
      <c r="B391" s="2"/>
      <c r="C391" s="2"/>
      <c r="D391" s="2"/>
      <c r="E391" s="2"/>
      <c r="F391" s="2"/>
      <c r="G391" s="2"/>
    </row>
    <row r="392" spans="1:7" ht="43.5" customHeight="1">
      <c r="A392" s="2"/>
      <c r="B392" s="2"/>
      <c r="C392" s="2"/>
      <c r="D392" s="2"/>
      <c r="E392" s="2"/>
      <c r="F392" s="2"/>
      <c r="G392" s="2"/>
    </row>
    <row r="393" spans="1:7" ht="43.5" customHeight="1">
      <c r="A393" s="2"/>
      <c r="B393" s="2"/>
      <c r="C393" s="2"/>
      <c r="D393" s="2"/>
      <c r="E393" s="2"/>
      <c r="F393" s="2"/>
      <c r="G393" s="2"/>
    </row>
    <row r="394" spans="1:7" ht="43.5" customHeight="1">
      <c r="A394" s="2"/>
      <c r="B394" s="2"/>
      <c r="C394" s="2"/>
      <c r="D394" s="2"/>
      <c r="E394" s="2"/>
      <c r="F394" s="2"/>
      <c r="G394" s="2"/>
    </row>
    <row r="395" spans="1:7" ht="43.5" customHeight="1">
      <c r="A395" s="2"/>
      <c r="B395" s="2"/>
      <c r="C395" s="2"/>
      <c r="D395" s="2"/>
      <c r="E395" s="2"/>
      <c r="F395" s="2"/>
      <c r="G395" s="2"/>
    </row>
    <row r="396" spans="1:7" ht="43.5" customHeight="1">
      <c r="A396" s="2"/>
      <c r="B396" s="2"/>
      <c r="C396" s="2"/>
      <c r="D396" s="2"/>
      <c r="E396" s="2"/>
      <c r="F396" s="2"/>
      <c r="G396" s="2"/>
    </row>
    <row r="397" spans="1:7" ht="43.5" customHeight="1">
      <c r="A397" s="2"/>
      <c r="B397" s="2"/>
      <c r="C397" s="2"/>
      <c r="D397" s="2"/>
      <c r="E397" s="2"/>
      <c r="F397" s="2"/>
      <c r="G397" s="2"/>
    </row>
    <row r="398" spans="1:7" ht="43.5" customHeight="1">
      <c r="A398" s="2"/>
      <c r="B398" s="2"/>
      <c r="C398" s="2"/>
      <c r="D398" s="2"/>
      <c r="E398" s="2"/>
      <c r="F398" s="2"/>
      <c r="G398" s="2"/>
    </row>
    <row r="399" spans="1:7" ht="43.5" customHeight="1">
      <c r="A399" s="2"/>
      <c r="B399" s="2"/>
      <c r="C399" s="2"/>
      <c r="D399" s="2"/>
      <c r="E399" s="2"/>
      <c r="F399" s="2"/>
      <c r="G399" s="2"/>
    </row>
    <row r="400" spans="1:7" ht="43.5" customHeight="1">
      <c r="A400" s="2"/>
      <c r="B400" s="2"/>
      <c r="C400" s="2"/>
      <c r="D400" s="2"/>
      <c r="E400" s="2"/>
      <c r="F400" s="2"/>
      <c r="G400" s="2"/>
    </row>
    <row r="401" spans="1:7" ht="43.5" customHeight="1">
      <c r="A401" s="2"/>
      <c r="B401" s="2"/>
      <c r="C401" s="2"/>
      <c r="D401" s="2"/>
      <c r="E401" s="2"/>
      <c r="F401" s="2"/>
      <c r="G401" s="2"/>
    </row>
    <row r="402" spans="1:7" ht="43.5" customHeight="1">
      <c r="A402" s="2"/>
      <c r="B402" s="2"/>
      <c r="C402" s="2"/>
      <c r="D402" s="2"/>
      <c r="E402" s="2"/>
      <c r="F402" s="2"/>
      <c r="G402" s="2"/>
    </row>
    <row r="403" spans="1:7" ht="43.5" customHeight="1">
      <c r="A403" s="2"/>
      <c r="B403" s="2"/>
      <c r="C403" s="2"/>
      <c r="D403" s="2"/>
      <c r="E403" s="2"/>
      <c r="F403" s="2"/>
      <c r="G403" s="2"/>
    </row>
    <row r="404" spans="1:7" ht="43.5" customHeight="1">
      <c r="A404" s="2"/>
      <c r="B404" s="2"/>
      <c r="C404" s="2"/>
      <c r="D404" s="2"/>
      <c r="E404" s="2"/>
      <c r="F404" s="2"/>
      <c r="G404" s="2"/>
    </row>
    <row r="405" spans="1:7" ht="43.5" customHeight="1">
      <c r="A405" s="2"/>
      <c r="B405" s="2"/>
      <c r="C405" s="2"/>
      <c r="D405" s="2"/>
      <c r="E405" s="2"/>
      <c r="F405" s="2"/>
      <c r="G405" s="2"/>
    </row>
    <row r="406" spans="1:7" ht="43.5" customHeight="1">
      <c r="A406" s="2"/>
      <c r="B406" s="2"/>
      <c r="C406" s="2"/>
      <c r="D406" s="2"/>
      <c r="E406" s="2"/>
      <c r="F406" s="2"/>
      <c r="G406" s="2"/>
    </row>
    <row r="407" spans="1:7" ht="43.5" customHeight="1">
      <c r="A407" s="2"/>
      <c r="B407" s="2"/>
      <c r="C407" s="2"/>
      <c r="D407" s="2"/>
      <c r="E407" s="2"/>
      <c r="F407" s="2"/>
      <c r="G407" s="2"/>
    </row>
    <row r="408" spans="1:7" ht="43.5" customHeight="1">
      <c r="A408" s="2"/>
      <c r="B408" s="2"/>
      <c r="C408" s="2"/>
      <c r="D408" s="2"/>
      <c r="E408" s="2"/>
      <c r="F408" s="2"/>
      <c r="G408" s="2"/>
    </row>
    <row r="409" spans="1:7" ht="43.5" customHeight="1">
      <c r="A409" s="2"/>
      <c r="B409" s="2"/>
      <c r="C409" s="2"/>
      <c r="D409" s="2"/>
      <c r="E409" s="2"/>
      <c r="F409" s="2"/>
      <c r="G409" s="2"/>
    </row>
    <row r="410" spans="1:7" ht="43.5" customHeight="1">
      <c r="A410" s="2"/>
      <c r="B410" s="2"/>
      <c r="C410" s="2"/>
      <c r="D410" s="2"/>
      <c r="E410" s="2"/>
      <c r="F410" s="2"/>
      <c r="G410" s="2"/>
    </row>
    <row r="411" spans="1:7" ht="43.5" customHeight="1">
      <c r="A411" s="2"/>
      <c r="B411" s="2"/>
      <c r="C411" s="2"/>
      <c r="D411" s="2"/>
      <c r="E411" s="2"/>
      <c r="F411" s="2"/>
      <c r="G411" s="2"/>
    </row>
    <row r="412" spans="1:7" ht="43.5" customHeight="1">
      <c r="A412" s="2"/>
      <c r="B412" s="2"/>
      <c r="C412" s="2"/>
      <c r="D412" s="2"/>
      <c r="E412" s="2"/>
      <c r="F412" s="2"/>
      <c r="G412" s="2"/>
    </row>
    <row r="413" spans="1:7" ht="43.5" customHeight="1">
      <c r="A413" s="2"/>
      <c r="B413" s="2"/>
      <c r="C413" s="2"/>
      <c r="D413" s="2"/>
      <c r="E413" s="2"/>
      <c r="F413" s="2"/>
      <c r="G413" s="2"/>
    </row>
    <row r="414" spans="1:7" ht="43.5" customHeight="1">
      <c r="A414" s="2"/>
      <c r="B414" s="2"/>
      <c r="C414" s="2"/>
      <c r="D414" s="2"/>
      <c r="E414" s="2"/>
      <c r="F414" s="2"/>
      <c r="G414" s="2"/>
    </row>
    <row r="415" spans="1:7" ht="43.5" customHeight="1">
      <c r="A415" s="2"/>
      <c r="B415" s="2"/>
      <c r="C415" s="2"/>
      <c r="D415" s="2"/>
      <c r="E415" s="2"/>
      <c r="F415" s="2"/>
      <c r="G415" s="2"/>
    </row>
    <row r="416" spans="1:7" ht="43.5" customHeight="1">
      <c r="A416" s="2"/>
      <c r="B416" s="2"/>
      <c r="C416" s="2"/>
      <c r="D416" s="2"/>
      <c r="E416" s="2"/>
      <c r="F416" s="2"/>
      <c r="G416" s="2"/>
    </row>
    <row r="417" spans="1:7" ht="43.5" customHeight="1">
      <c r="A417" s="2"/>
      <c r="B417" s="2"/>
      <c r="C417" s="2"/>
      <c r="D417" s="2"/>
      <c r="E417" s="2"/>
      <c r="F417" s="2"/>
      <c r="G417" s="2"/>
    </row>
    <row r="418" spans="1:7" ht="43.5" customHeight="1">
      <c r="A418" s="2"/>
      <c r="B418" s="2"/>
      <c r="C418" s="2"/>
      <c r="D418" s="2"/>
      <c r="E418" s="2"/>
      <c r="F418" s="2"/>
      <c r="G418" s="2"/>
    </row>
    <row r="419" spans="1:7" ht="43.5" customHeight="1">
      <c r="A419" s="2"/>
      <c r="B419" s="2"/>
      <c r="C419" s="2"/>
      <c r="D419" s="2"/>
      <c r="E419" s="2"/>
      <c r="F419" s="2"/>
      <c r="G419" s="2"/>
    </row>
    <row r="420" spans="1:7" ht="43.5" customHeight="1">
      <c r="A420" s="2"/>
      <c r="B420" s="2"/>
      <c r="C420" s="2"/>
      <c r="D420" s="2"/>
      <c r="E420" s="2"/>
      <c r="F420" s="2"/>
      <c r="G420" s="2"/>
    </row>
    <row r="421" spans="1:7" ht="43.5" customHeight="1">
      <c r="A421" s="2"/>
      <c r="B421" s="2"/>
      <c r="C421" s="2"/>
      <c r="D421" s="2"/>
      <c r="E421" s="2"/>
      <c r="F421" s="2"/>
      <c r="G421" s="2"/>
    </row>
    <row r="422" spans="1:7" ht="43.5" customHeight="1">
      <c r="A422" s="2"/>
      <c r="B422" s="2"/>
      <c r="C422" s="2"/>
      <c r="D422" s="2"/>
      <c r="E422" s="2"/>
      <c r="F422" s="2"/>
      <c r="G422" s="2"/>
    </row>
    <row r="423" spans="1:7" ht="43.5" customHeight="1">
      <c r="A423" s="2"/>
      <c r="B423" s="2"/>
      <c r="C423" s="2"/>
      <c r="D423" s="2"/>
      <c r="E423" s="2"/>
      <c r="F423" s="2"/>
      <c r="G423" s="2"/>
    </row>
    <row r="424" spans="1:7" ht="43.5" customHeight="1">
      <c r="A424" s="2"/>
      <c r="B424" s="2"/>
      <c r="C424" s="2"/>
      <c r="D424" s="2"/>
      <c r="E424" s="2"/>
      <c r="F424" s="2"/>
      <c r="G424" s="2"/>
    </row>
    <row r="425" spans="1:7" ht="43.5" customHeight="1">
      <c r="A425" s="2"/>
      <c r="B425" s="2"/>
      <c r="C425" s="2"/>
      <c r="D425" s="2"/>
      <c r="E425" s="2"/>
      <c r="F425" s="2"/>
      <c r="G425" s="2"/>
    </row>
    <row r="426" spans="1:7" ht="43.5" customHeight="1">
      <c r="A426" s="2"/>
      <c r="B426" s="2"/>
      <c r="C426" s="2"/>
      <c r="D426" s="2"/>
      <c r="E426" s="2"/>
      <c r="F426" s="2"/>
      <c r="G426" s="2"/>
    </row>
    <row r="427" spans="1:7" ht="43.5" customHeight="1">
      <c r="A427" s="2"/>
      <c r="B427" s="2"/>
      <c r="C427" s="2"/>
      <c r="D427" s="2"/>
      <c r="E427" s="2"/>
      <c r="F427" s="2"/>
      <c r="G427" s="2"/>
    </row>
    <row r="428" spans="1:7" ht="43.5" customHeight="1">
      <c r="A428" s="2"/>
      <c r="B428" s="2"/>
      <c r="C428" s="2"/>
      <c r="D428" s="2"/>
      <c r="E428" s="2"/>
      <c r="F428" s="2"/>
      <c r="G428" s="2"/>
    </row>
    <row r="429" spans="1:7" ht="43.5" customHeight="1">
      <c r="A429" s="2"/>
      <c r="B429" s="2"/>
      <c r="C429" s="2"/>
      <c r="D429" s="2"/>
      <c r="E429" s="2"/>
      <c r="F429" s="2"/>
      <c r="G429" s="2"/>
    </row>
    <row r="430" spans="1:7" ht="43.5" customHeight="1">
      <c r="A430" s="2"/>
      <c r="B430" s="2"/>
      <c r="C430" s="2"/>
      <c r="D430" s="2"/>
      <c r="E430" s="2"/>
      <c r="F430" s="2"/>
      <c r="G430" s="2"/>
    </row>
    <row r="431" spans="1:7" ht="43.5" customHeight="1">
      <c r="A431" s="2"/>
      <c r="B431" s="2"/>
      <c r="C431" s="2"/>
      <c r="D431" s="2"/>
      <c r="E431" s="2"/>
      <c r="F431" s="2"/>
      <c r="G431" s="2"/>
    </row>
    <row r="432" spans="1:7" ht="43.5" customHeight="1">
      <c r="A432" s="2"/>
      <c r="B432" s="2"/>
      <c r="C432" s="2"/>
      <c r="D432" s="2"/>
      <c r="E432" s="2"/>
      <c r="F432" s="2"/>
      <c r="G432" s="2"/>
    </row>
    <row r="433" spans="1:7" ht="43.5" customHeight="1">
      <c r="A433" s="2"/>
      <c r="B433" s="2"/>
      <c r="C433" s="2"/>
      <c r="D433" s="2"/>
      <c r="E433" s="2"/>
      <c r="F433" s="2"/>
      <c r="G433" s="2"/>
    </row>
    <row r="434" spans="1:7" ht="43.5" customHeight="1">
      <c r="A434" s="2"/>
      <c r="B434" s="2"/>
      <c r="C434" s="2"/>
      <c r="D434" s="2"/>
      <c r="E434" s="2"/>
      <c r="F434" s="2"/>
      <c r="G434" s="2"/>
    </row>
    <row r="435" spans="1:7" ht="43.5" customHeight="1">
      <c r="A435" s="2"/>
      <c r="B435" s="2"/>
      <c r="C435" s="2"/>
      <c r="D435" s="2"/>
      <c r="E435" s="2"/>
      <c r="F435" s="2"/>
      <c r="G435" s="2"/>
    </row>
    <row r="436" spans="1:7" ht="43.5" customHeight="1">
      <c r="A436" s="2"/>
      <c r="B436" s="2"/>
      <c r="C436" s="2"/>
      <c r="D436" s="2"/>
      <c r="E436" s="2"/>
      <c r="F436" s="2"/>
      <c r="G436" s="2"/>
    </row>
    <row r="437" spans="1:7" ht="43.5" customHeight="1">
      <c r="A437" s="2"/>
      <c r="B437" s="2"/>
      <c r="C437" s="2"/>
      <c r="D437" s="2"/>
      <c r="E437" s="2"/>
      <c r="F437" s="2"/>
      <c r="G437" s="2"/>
    </row>
    <row r="438" spans="1:7" ht="43.5" customHeight="1">
      <c r="A438" s="2"/>
      <c r="B438" s="2"/>
      <c r="C438" s="2"/>
      <c r="D438" s="2"/>
      <c r="E438" s="2"/>
      <c r="F438" s="2"/>
      <c r="G438" s="2"/>
    </row>
    <row r="439" spans="1:7" ht="43.5" customHeight="1">
      <c r="A439" s="2"/>
      <c r="B439" s="2"/>
      <c r="C439" s="2"/>
      <c r="D439" s="2"/>
      <c r="E439" s="2"/>
      <c r="F439" s="2"/>
      <c r="G439" s="2"/>
    </row>
    <row r="440" spans="1:7" ht="43.5" customHeight="1">
      <c r="A440" s="2"/>
      <c r="B440" s="2"/>
      <c r="C440" s="2"/>
      <c r="D440" s="2"/>
      <c r="E440" s="2"/>
      <c r="F440" s="2"/>
      <c r="G440" s="2"/>
    </row>
    <row r="441" spans="1:7" ht="43.5" customHeight="1">
      <c r="A441" s="2"/>
      <c r="B441" s="2"/>
      <c r="C441" s="2"/>
      <c r="D441" s="2"/>
      <c r="E441" s="2"/>
      <c r="F441" s="2"/>
      <c r="G441" s="2"/>
    </row>
    <row r="442" spans="1:7" ht="43.5" customHeight="1">
      <c r="A442" s="2"/>
      <c r="B442" s="2"/>
      <c r="C442" s="2"/>
      <c r="D442" s="2"/>
      <c r="E442" s="2"/>
      <c r="F442" s="2"/>
      <c r="G442" s="2"/>
    </row>
    <row r="443" spans="1:7" ht="43.5" customHeight="1">
      <c r="A443" s="2"/>
      <c r="B443" s="2"/>
      <c r="C443" s="2"/>
      <c r="D443" s="2"/>
      <c r="E443" s="2"/>
      <c r="F443" s="2"/>
      <c r="G443" s="2"/>
    </row>
    <row r="444" spans="1:7" ht="43.5" customHeight="1">
      <c r="A444" s="2"/>
      <c r="B444" s="2"/>
      <c r="C444" s="2"/>
      <c r="D444" s="2"/>
      <c r="E444" s="2"/>
      <c r="F444" s="2"/>
      <c r="G444" s="2"/>
    </row>
    <row r="445" spans="1:7" ht="43.5" customHeight="1">
      <c r="A445" s="2"/>
      <c r="B445" s="2"/>
      <c r="C445" s="2"/>
      <c r="D445" s="2"/>
      <c r="E445" s="2"/>
      <c r="F445" s="2"/>
      <c r="G445" s="2"/>
    </row>
    <row r="446" spans="1:7" ht="43.5" customHeight="1">
      <c r="A446" s="2"/>
      <c r="B446" s="2"/>
      <c r="C446" s="2"/>
      <c r="D446" s="2"/>
      <c r="E446" s="2"/>
      <c r="F446" s="2"/>
      <c r="G446" s="2"/>
    </row>
  </sheetData>
  <mergeCells count="5">
    <mergeCell ref="A1:G1"/>
    <mergeCell ref="A3:G3"/>
    <mergeCell ref="A28:G28"/>
    <mergeCell ref="A52:B52"/>
    <mergeCell ref="A53:B53"/>
  </mergeCells>
  <pageMargins left="0.19685039370078741" right="0.11811023622047245" top="0.15748031496062992" bottom="0.15748031496062992" header="0.31496062992125984" footer="0.31496062992125984"/>
  <pageSetup paperSize="9" scale="6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434"/>
  <sheetViews>
    <sheetView zoomScale="60" zoomScaleNormal="60" workbookViewId="0">
      <selection activeCell="M42" sqref="M42"/>
    </sheetView>
  </sheetViews>
  <sheetFormatPr defaultRowHeight="15"/>
  <cols>
    <col min="1" max="1" width="7.28515625" style="16" customWidth="1"/>
    <col min="2" max="2" width="42.5703125" style="16" customWidth="1"/>
    <col min="3" max="3" width="14.28515625" style="16" customWidth="1"/>
    <col min="4" max="4" width="17.7109375" style="16" customWidth="1"/>
    <col min="5" max="5" width="17" style="16" customWidth="1"/>
    <col min="6" max="6" width="16.42578125" style="16" customWidth="1"/>
    <col min="7" max="7" width="19.42578125" style="16" customWidth="1"/>
    <col min="8" max="16384" width="9.140625" style="16"/>
  </cols>
  <sheetData>
    <row r="1" spans="1:7" ht="51.75" customHeight="1">
      <c r="A1" s="84" t="s">
        <v>143</v>
      </c>
      <c r="B1" s="84"/>
      <c r="C1" s="84"/>
      <c r="D1" s="84"/>
      <c r="E1" s="84"/>
      <c r="F1" s="84"/>
      <c r="G1" s="84"/>
    </row>
    <row r="2" spans="1:7" ht="29.25" customHeight="1">
      <c r="A2" s="4" t="s">
        <v>0</v>
      </c>
      <c r="B2" s="4" t="s">
        <v>49</v>
      </c>
      <c r="C2" s="4" t="s">
        <v>1</v>
      </c>
      <c r="D2" s="66" t="s">
        <v>2</v>
      </c>
      <c r="E2" s="66" t="s">
        <v>3</v>
      </c>
      <c r="F2" s="66" t="s">
        <v>4</v>
      </c>
      <c r="G2" s="67" t="s">
        <v>14</v>
      </c>
    </row>
    <row r="3" spans="1:7" ht="21.75" customHeight="1">
      <c r="A3" s="77" t="s">
        <v>48</v>
      </c>
      <c r="B3" s="78"/>
      <c r="C3" s="78"/>
      <c r="D3" s="78"/>
      <c r="E3" s="78"/>
      <c r="F3" s="78"/>
      <c r="G3" s="78"/>
    </row>
    <row r="4" spans="1:7" ht="19.5" customHeight="1">
      <c r="A4" s="4" t="s">
        <v>87</v>
      </c>
      <c r="B4" s="45" t="s">
        <v>22</v>
      </c>
      <c r="C4" s="34" t="s">
        <v>16</v>
      </c>
      <c r="D4" s="55">
        <v>1477.8</v>
      </c>
      <c r="E4" s="55">
        <v>1491.9</v>
      </c>
      <c r="F4" s="55">
        <v>1443.2</v>
      </c>
      <c r="G4" s="55">
        <f>SUM(D4:F4)</f>
        <v>4412.8999999999996</v>
      </c>
    </row>
    <row r="5" spans="1:7" ht="15.75">
      <c r="A5" s="4" t="s">
        <v>36</v>
      </c>
      <c r="B5" s="45" t="s">
        <v>17</v>
      </c>
      <c r="C5" s="34" t="s">
        <v>19</v>
      </c>
      <c r="D5" s="35">
        <v>373080</v>
      </c>
      <c r="E5" s="35">
        <v>376136</v>
      </c>
      <c r="F5" s="35">
        <v>355552</v>
      </c>
      <c r="G5" s="35">
        <f>SUM(D5:F5)</f>
        <v>1104768</v>
      </c>
    </row>
    <row r="6" spans="1:7" ht="16.5" customHeight="1">
      <c r="A6" s="4" t="s">
        <v>37</v>
      </c>
      <c r="B6" s="45" t="s">
        <v>18</v>
      </c>
      <c r="C6" s="34" t="s">
        <v>20</v>
      </c>
      <c r="D6" s="35">
        <f>D4/D5*1000</f>
        <v>3.9610807333547768</v>
      </c>
      <c r="E6" s="35">
        <f t="shared" ref="E6:F6" si="0">E4/E5*1000</f>
        <v>3.9663844992236856</v>
      </c>
      <c r="F6" s="35">
        <f t="shared" si="0"/>
        <v>4.059040590405905</v>
      </c>
      <c r="G6" s="35">
        <f>SUM(D6:F6)/12</f>
        <v>0.99887548524869729</v>
      </c>
    </row>
    <row r="7" spans="1:7" ht="17.25" customHeight="1">
      <c r="A7" s="4" t="s">
        <v>88</v>
      </c>
      <c r="B7" s="45" t="s">
        <v>21</v>
      </c>
      <c r="C7" s="34" t="s">
        <v>16</v>
      </c>
      <c r="D7" s="35">
        <v>0</v>
      </c>
      <c r="E7" s="35">
        <f t="shared" ref="E7:F7" si="1">E8+E9</f>
        <v>0</v>
      </c>
      <c r="F7" s="35">
        <f t="shared" si="1"/>
        <v>0</v>
      </c>
      <c r="G7" s="35">
        <f>SUM(D7:F7)</f>
        <v>0</v>
      </c>
    </row>
    <row r="8" spans="1:7" ht="15.75" customHeight="1">
      <c r="A8" s="4" t="s">
        <v>89</v>
      </c>
      <c r="B8" s="45" t="s">
        <v>17</v>
      </c>
      <c r="C8" s="34" t="s">
        <v>19</v>
      </c>
      <c r="D8" s="35">
        <v>0</v>
      </c>
      <c r="E8" s="35">
        <v>0</v>
      </c>
      <c r="F8" s="35">
        <v>0</v>
      </c>
      <c r="G8" s="35">
        <f>SUM(D8:F8)</f>
        <v>0</v>
      </c>
    </row>
    <row r="9" spans="1:7" ht="16.5" customHeight="1">
      <c r="A9" s="4" t="s">
        <v>90</v>
      </c>
      <c r="B9" s="45" t="s">
        <v>18</v>
      </c>
      <c r="C9" s="34" t="s">
        <v>20</v>
      </c>
      <c r="D9" s="35">
        <v>0</v>
      </c>
      <c r="E9" s="35">
        <v>0</v>
      </c>
      <c r="F9" s="35">
        <v>0</v>
      </c>
      <c r="G9" s="35">
        <f>SUM(D9:F9)</f>
        <v>0</v>
      </c>
    </row>
    <row r="10" spans="1:7" s="14" customFormat="1" ht="19.5" customHeight="1">
      <c r="A10" s="12" t="s">
        <v>91</v>
      </c>
      <c r="B10" s="43" t="s">
        <v>23</v>
      </c>
      <c r="C10" s="36" t="s">
        <v>16</v>
      </c>
      <c r="D10" s="55">
        <v>654.17999999999995</v>
      </c>
      <c r="E10" s="55">
        <v>649.5</v>
      </c>
      <c r="F10" s="55">
        <v>708.65</v>
      </c>
      <c r="G10" s="55">
        <f>SUM(D10:F10)</f>
        <v>2012.33</v>
      </c>
    </row>
    <row r="11" spans="1:7" ht="15.75">
      <c r="A11" s="4" t="s">
        <v>38</v>
      </c>
      <c r="B11" s="45" t="s">
        <v>85</v>
      </c>
      <c r="C11" s="34" t="s">
        <v>30</v>
      </c>
      <c r="D11" s="35">
        <f>D10/D12*1000</f>
        <v>19823.63636363636</v>
      </c>
      <c r="E11" s="35">
        <f t="shared" ref="E11:F11" si="2">E10/E12*1000</f>
        <v>19102.941176470587</v>
      </c>
      <c r="F11" s="35">
        <f t="shared" si="2"/>
        <v>20247.142857142859</v>
      </c>
      <c r="G11" s="35">
        <f>G10/G12*1000</f>
        <v>19728.725490196077</v>
      </c>
    </row>
    <row r="12" spans="1:7" ht="15.75">
      <c r="A12" s="4" t="s">
        <v>39</v>
      </c>
      <c r="B12" s="45" t="s">
        <v>86</v>
      </c>
      <c r="C12" s="34" t="s">
        <v>31</v>
      </c>
      <c r="D12" s="35">
        <v>33</v>
      </c>
      <c r="E12" s="35">
        <v>34</v>
      </c>
      <c r="F12" s="35">
        <v>35</v>
      </c>
      <c r="G12" s="35">
        <f>SUM(D12:F12)</f>
        <v>102</v>
      </c>
    </row>
    <row r="13" spans="1:7" ht="22.5" customHeight="1">
      <c r="A13" s="4" t="s">
        <v>92</v>
      </c>
      <c r="B13" s="45" t="s">
        <v>24</v>
      </c>
      <c r="C13" s="34" t="s">
        <v>16</v>
      </c>
      <c r="D13" s="55">
        <f>D10*30%</f>
        <v>196.25399999999999</v>
      </c>
      <c r="E13" s="55">
        <f>E10*30%</f>
        <v>194.85</v>
      </c>
      <c r="F13" s="55">
        <f>F10*30%</f>
        <v>212.595</v>
      </c>
      <c r="G13" s="55">
        <f>SUM(D13:F13)</f>
        <v>603.69899999999996</v>
      </c>
    </row>
    <row r="14" spans="1:7" ht="15.75">
      <c r="A14" s="4" t="s">
        <v>93</v>
      </c>
      <c r="B14" s="45" t="s">
        <v>25</v>
      </c>
      <c r="C14" s="34" t="s">
        <v>16</v>
      </c>
      <c r="D14" s="35"/>
      <c r="E14" s="35"/>
      <c r="F14" s="35"/>
      <c r="G14" s="35"/>
    </row>
    <row r="15" spans="1:7" ht="15.75" customHeight="1">
      <c r="A15" s="4" t="s">
        <v>94</v>
      </c>
      <c r="B15" s="45" t="s">
        <v>35</v>
      </c>
      <c r="C15" s="34" t="s">
        <v>16</v>
      </c>
      <c r="D15" s="35">
        <v>0</v>
      </c>
      <c r="E15" s="35">
        <v>0</v>
      </c>
      <c r="F15" s="35">
        <v>0</v>
      </c>
      <c r="G15" s="35">
        <f>SUM(D15:F15)</f>
        <v>0</v>
      </c>
    </row>
    <row r="16" spans="1:7" ht="51" customHeight="1">
      <c r="A16" s="4" t="s">
        <v>95</v>
      </c>
      <c r="B16" s="45" t="s">
        <v>83</v>
      </c>
      <c r="C16" s="34" t="s">
        <v>16</v>
      </c>
      <c r="D16" s="55">
        <v>861.2</v>
      </c>
      <c r="E16" s="55">
        <v>363.92</v>
      </c>
      <c r="F16" s="55">
        <v>234.8</v>
      </c>
      <c r="G16" s="55">
        <f>SUM(D16:F16)</f>
        <v>1459.92</v>
      </c>
    </row>
    <row r="17" spans="1:7" ht="19.5" customHeight="1">
      <c r="A17" s="4" t="s">
        <v>111</v>
      </c>
      <c r="B17" s="45" t="s">
        <v>129</v>
      </c>
      <c r="C17" s="34" t="s">
        <v>16</v>
      </c>
      <c r="D17" s="35">
        <v>34.049999999999997</v>
      </c>
      <c r="E17" s="35">
        <v>146.5</v>
      </c>
      <c r="F17" s="35">
        <v>74.400000000000006</v>
      </c>
      <c r="G17" s="35">
        <f>SUM(D17:F17)</f>
        <v>254.95000000000002</v>
      </c>
    </row>
    <row r="18" spans="1:7" ht="18.75" customHeight="1">
      <c r="A18" s="46" t="s">
        <v>96</v>
      </c>
      <c r="B18" s="50" t="s">
        <v>14</v>
      </c>
      <c r="C18" s="46" t="s">
        <v>16</v>
      </c>
      <c r="D18" s="55">
        <f>D4+D7+D10+D13+D14+D15+D16</f>
        <v>3189.4340000000002</v>
      </c>
      <c r="E18" s="55">
        <f>E4+E7+E10+E13+E14+E15+E16</f>
        <v>2700.17</v>
      </c>
      <c r="F18" s="55">
        <f>F4+F7+F10+F13+F14+F15+F16</f>
        <v>2599.2449999999999</v>
      </c>
      <c r="G18" s="55">
        <f>SUM(D18:F18)</f>
        <v>8488.8490000000002</v>
      </c>
    </row>
    <row r="19" spans="1:7" ht="31.5" customHeight="1">
      <c r="A19" s="77" t="s">
        <v>50</v>
      </c>
      <c r="B19" s="78"/>
      <c r="C19" s="78"/>
      <c r="D19" s="78"/>
      <c r="E19" s="78"/>
      <c r="F19" s="78"/>
      <c r="G19" s="78"/>
    </row>
    <row r="20" spans="1:7" ht="18.75" customHeight="1">
      <c r="A20" s="4" t="s">
        <v>97</v>
      </c>
      <c r="B20" s="50" t="s">
        <v>138</v>
      </c>
      <c r="C20" s="46" t="s">
        <v>16</v>
      </c>
      <c r="D20" s="47">
        <f>SUM(D21:D30)</f>
        <v>1079.2457627118645</v>
      </c>
      <c r="E20" s="47">
        <f>SUM(E21:E30)</f>
        <v>1040.457627118644</v>
      </c>
      <c r="F20" s="47">
        <f>SUM(F21:F30)</f>
        <v>930.86440677966107</v>
      </c>
      <c r="G20" s="47">
        <f t="shared" ref="G20:G41" si="3">SUM(D20:F20)</f>
        <v>3050.5677966101694</v>
      </c>
    </row>
    <row r="21" spans="1:7" ht="15.75">
      <c r="A21" s="4" t="s">
        <v>81</v>
      </c>
      <c r="B21" s="5" t="s">
        <v>53</v>
      </c>
      <c r="C21" s="34" t="s">
        <v>16</v>
      </c>
      <c r="D21" s="6">
        <f>1.87/1.18</f>
        <v>1.5847457627118646</v>
      </c>
      <c r="E21" s="6">
        <f>1.08/1.18</f>
        <v>0.91525423728813571</v>
      </c>
      <c r="F21" s="6">
        <f>0.75/1.18</f>
        <v>0.63559322033898313</v>
      </c>
      <c r="G21" s="6">
        <f t="shared" si="3"/>
        <v>3.1355932203389836</v>
      </c>
    </row>
    <row r="22" spans="1:7" ht="15.75">
      <c r="A22" s="4" t="s">
        <v>98</v>
      </c>
      <c r="B22" s="5" t="s">
        <v>55</v>
      </c>
      <c r="C22" s="34" t="s">
        <v>16</v>
      </c>
      <c r="D22" s="6">
        <f>43.59/1.18</f>
        <v>36.940677966101703</v>
      </c>
      <c r="E22" s="6">
        <f>74.09/1.18</f>
        <v>62.788135593220346</v>
      </c>
      <c r="F22" s="6">
        <f>71.16/1.18</f>
        <v>60.305084745762713</v>
      </c>
      <c r="G22" s="6">
        <f t="shared" si="3"/>
        <v>160.03389830508476</v>
      </c>
    </row>
    <row r="23" spans="1:7" ht="15.75">
      <c r="A23" s="4" t="s">
        <v>99</v>
      </c>
      <c r="B23" s="5" t="s">
        <v>57</v>
      </c>
      <c r="C23" s="34" t="s">
        <v>16</v>
      </c>
      <c r="D23" s="6">
        <f>38.67/1.18</f>
        <v>32.771186440677972</v>
      </c>
      <c r="E23" s="6">
        <f>46.14/1.18</f>
        <v>39.101694915254242</v>
      </c>
      <c r="F23" s="6">
        <f>37.44/1.18</f>
        <v>31.728813559322035</v>
      </c>
      <c r="G23" s="6">
        <f t="shared" si="3"/>
        <v>103.60169491525424</v>
      </c>
    </row>
    <row r="24" spans="1:7" ht="15.75">
      <c r="A24" s="4" t="s">
        <v>100</v>
      </c>
      <c r="B24" s="5" t="s">
        <v>59</v>
      </c>
      <c r="C24" s="34" t="s">
        <v>16</v>
      </c>
      <c r="D24" s="6">
        <v>0</v>
      </c>
      <c r="E24" s="6">
        <v>0</v>
      </c>
      <c r="F24" s="6">
        <v>0</v>
      </c>
      <c r="G24" s="6">
        <f t="shared" si="3"/>
        <v>0</v>
      </c>
    </row>
    <row r="25" spans="1:7" ht="15.75">
      <c r="A25" s="4" t="s">
        <v>101</v>
      </c>
      <c r="B25" s="5" t="s">
        <v>61</v>
      </c>
      <c r="C25" s="34" t="s">
        <v>16</v>
      </c>
      <c r="D25" s="6">
        <f>166.39/1.18</f>
        <v>141.00847457627117</v>
      </c>
      <c r="E25" s="6">
        <v>0</v>
      </c>
      <c r="F25" s="6">
        <v>0</v>
      </c>
      <c r="G25" s="6">
        <f t="shared" si="3"/>
        <v>141.00847457627117</v>
      </c>
    </row>
    <row r="26" spans="1:7" ht="15.75">
      <c r="A26" s="4" t="s">
        <v>102</v>
      </c>
      <c r="B26" s="5" t="s">
        <v>63</v>
      </c>
      <c r="C26" s="34" t="s">
        <v>16</v>
      </c>
      <c r="D26" s="6">
        <v>0</v>
      </c>
      <c r="E26" s="6">
        <v>0</v>
      </c>
      <c r="F26" s="6">
        <v>0</v>
      </c>
      <c r="G26" s="6">
        <f t="shared" si="3"/>
        <v>0</v>
      </c>
    </row>
    <row r="27" spans="1:7" ht="15.75">
      <c r="A27" s="4" t="s">
        <v>103</v>
      </c>
      <c r="B27" s="5" t="s">
        <v>65</v>
      </c>
      <c r="C27" s="34" t="s">
        <v>16</v>
      </c>
      <c r="D27" s="6">
        <v>0</v>
      </c>
      <c r="E27" s="6">
        <v>0</v>
      </c>
      <c r="F27" s="6">
        <v>0</v>
      </c>
      <c r="G27" s="6">
        <f t="shared" si="3"/>
        <v>0</v>
      </c>
    </row>
    <row r="28" spans="1:7" ht="15.75">
      <c r="A28" s="4" t="s">
        <v>104</v>
      </c>
      <c r="B28" s="5" t="s">
        <v>67</v>
      </c>
      <c r="C28" s="34" t="s">
        <v>16</v>
      </c>
      <c r="D28" s="6">
        <f>966/1.18</f>
        <v>818.64406779661022</v>
      </c>
      <c r="E28" s="6">
        <f>1045.34/1.18</f>
        <v>885.88135593220341</v>
      </c>
      <c r="F28" s="6">
        <f>931.59/1.18</f>
        <v>789.48305084745766</v>
      </c>
      <c r="G28" s="6">
        <f t="shared" si="3"/>
        <v>2494.0084745762715</v>
      </c>
    </row>
    <row r="29" spans="1:7" ht="15.75">
      <c r="A29" s="4" t="s">
        <v>105</v>
      </c>
      <c r="B29" s="5" t="s">
        <v>68</v>
      </c>
      <c r="C29" s="34" t="s">
        <v>16</v>
      </c>
      <c r="D29" s="6">
        <v>0</v>
      </c>
      <c r="E29" s="6">
        <v>0</v>
      </c>
      <c r="F29" s="6">
        <v>0</v>
      </c>
      <c r="G29" s="6">
        <f t="shared" si="3"/>
        <v>0</v>
      </c>
    </row>
    <row r="30" spans="1:7" ht="18" customHeight="1">
      <c r="A30" s="4" t="s">
        <v>106</v>
      </c>
      <c r="B30" s="5" t="s">
        <v>70</v>
      </c>
      <c r="C30" s="34" t="s">
        <v>16</v>
      </c>
      <c r="D30" s="6">
        <f>56.99/1.18</f>
        <v>48.29661016949153</v>
      </c>
      <c r="E30" s="6">
        <f>61.09/1.18</f>
        <v>51.771186440677972</v>
      </c>
      <c r="F30" s="6">
        <f>57.48/1.18</f>
        <v>48.711864406779661</v>
      </c>
      <c r="G30" s="6">
        <f t="shared" si="3"/>
        <v>148.77966101694915</v>
      </c>
    </row>
    <row r="31" spans="1:7" ht="18" customHeight="1">
      <c r="A31" s="29" t="s">
        <v>107</v>
      </c>
      <c r="B31" s="28" t="s">
        <v>51</v>
      </c>
      <c r="C31" s="29" t="s">
        <v>16</v>
      </c>
      <c r="D31" s="10">
        <f>SUM(D32:D41)</f>
        <v>781.08474576271192</v>
      </c>
      <c r="E31" s="10">
        <f t="shared" ref="E31:F31" si="4">SUM(E32:E41)</f>
        <v>717.78813559322043</v>
      </c>
      <c r="F31" s="10">
        <f t="shared" si="4"/>
        <v>907.70338983050851</v>
      </c>
      <c r="G31" s="10">
        <f t="shared" si="3"/>
        <v>2406.5762711864409</v>
      </c>
    </row>
    <row r="32" spans="1:7" ht="15.75">
      <c r="A32" s="4" t="s">
        <v>112</v>
      </c>
      <c r="B32" s="5" t="s">
        <v>53</v>
      </c>
      <c r="C32" s="34" t="s">
        <v>16</v>
      </c>
      <c r="D32" s="6">
        <f>0.04/1.18</f>
        <v>3.3898305084745763E-2</v>
      </c>
      <c r="E32" s="6">
        <f>1.24/1.18</f>
        <v>1.0508474576271187</v>
      </c>
      <c r="F32" s="6">
        <f>0.64/1.18</f>
        <v>0.5423728813559322</v>
      </c>
      <c r="G32" s="6">
        <f t="shared" si="3"/>
        <v>1.6271186440677967</v>
      </c>
    </row>
    <row r="33" spans="1:7" ht="15.75">
      <c r="A33" s="4" t="s">
        <v>113</v>
      </c>
      <c r="B33" s="5" t="s">
        <v>55</v>
      </c>
      <c r="C33" s="34" t="s">
        <v>16</v>
      </c>
      <c r="D33" s="6">
        <f>54.08/1.18</f>
        <v>45.83050847457627</v>
      </c>
      <c r="E33" s="6">
        <f>31.64/1.18</f>
        <v>26.8135593220339</v>
      </c>
      <c r="F33" s="6">
        <f>67.73/1.18</f>
        <v>57.398305084745772</v>
      </c>
      <c r="G33" s="6">
        <f t="shared" si="3"/>
        <v>130.04237288135596</v>
      </c>
    </row>
    <row r="34" spans="1:7" ht="15.75">
      <c r="A34" s="4" t="s">
        <v>114</v>
      </c>
      <c r="B34" s="5" t="s">
        <v>57</v>
      </c>
      <c r="C34" s="34" t="s">
        <v>16</v>
      </c>
      <c r="D34" s="6">
        <f>0.04/1.18</f>
        <v>3.3898305084745763E-2</v>
      </c>
      <c r="E34" s="6">
        <f>53.29/1.18</f>
        <v>45.161016949152547</v>
      </c>
      <c r="F34" s="6">
        <f>73.99/1.18</f>
        <v>62.70338983050847</v>
      </c>
      <c r="G34" s="6">
        <f t="shared" si="3"/>
        <v>107.89830508474577</v>
      </c>
    </row>
    <row r="35" spans="1:7" ht="15.75">
      <c r="A35" s="4" t="s">
        <v>115</v>
      </c>
      <c r="B35" s="5" t="s">
        <v>59</v>
      </c>
      <c r="C35" s="34" t="s">
        <v>16</v>
      </c>
      <c r="D35" s="6">
        <v>0</v>
      </c>
      <c r="E35" s="6">
        <v>0</v>
      </c>
      <c r="F35" s="6">
        <v>0</v>
      </c>
      <c r="G35" s="6">
        <f t="shared" si="3"/>
        <v>0</v>
      </c>
    </row>
    <row r="36" spans="1:7" ht="15.75">
      <c r="A36" s="4" t="s">
        <v>116</v>
      </c>
      <c r="B36" s="5" t="s">
        <v>61</v>
      </c>
      <c r="C36" s="34" t="s">
        <v>16</v>
      </c>
      <c r="D36" s="6">
        <v>0</v>
      </c>
      <c r="E36" s="6">
        <v>0</v>
      </c>
      <c r="F36" s="6">
        <f>7.8/1.18</f>
        <v>6.6101694915254239</v>
      </c>
      <c r="G36" s="6">
        <f t="shared" si="3"/>
        <v>6.6101694915254239</v>
      </c>
    </row>
    <row r="37" spans="1:7" ht="15.75">
      <c r="A37" s="4" t="s">
        <v>117</v>
      </c>
      <c r="B37" s="5" t="s">
        <v>63</v>
      </c>
      <c r="C37" s="34" t="s">
        <v>16</v>
      </c>
      <c r="D37" s="6">
        <v>0</v>
      </c>
      <c r="E37" s="6">
        <v>0</v>
      </c>
      <c r="F37" s="6">
        <v>0</v>
      </c>
      <c r="G37" s="6">
        <f t="shared" si="3"/>
        <v>0</v>
      </c>
    </row>
    <row r="38" spans="1:7" ht="15.75">
      <c r="A38" s="4" t="s">
        <v>118</v>
      </c>
      <c r="B38" s="5" t="s">
        <v>65</v>
      </c>
      <c r="C38" s="34" t="s">
        <v>16</v>
      </c>
      <c r="D38" s="6">
        <f>198.17/1.18</f>
        <v>167.9406779661017</v>
      </c>
      <c r="E38" s="6">
        <f>177.75/1.18</f>
        <v>150.63559322033899</v>
      </c>
      <c r="F38" s="6">
        <f>186.07/1.18</f>
        <v>157.68644067796612</v>
      </c>
      <c r="G38" s="6">
        <f t="shared" si="3"/>
        <v>476.26271186440681</v>
      </c>
    </row>
    <row r="39" spans="1:7" ht="15" customHeight="1">
      <c r="A39" s="4" t="s">
        <v>119</v>
      </c>
      <c r="B39" s="5" t="s">
        <v>67</v>
      </c>
      <c r="C39" s="34" t="s">
        <v>16</v>
      </c>
      <c r="D39" s="8">
        <f>648.65/1.18</f>
        <v>549.70338983050851</v>
      </c>
      <c r="E39" s="8">
        <f>535.64/1.18</f>
        <v>453.93220338983053</v>
      </c>
      <c r="F39" s="8">
        <f>669.98/1.18</f>
        <v>567.77966101694915</v>
      </c>
      <c r="G39" s="8">
        <f t="shared" si="3"/>
        <v>1571.4152542372881</v>
      </c>
    </row>
    <row r="40" spans="1:7" ht="19.5" customHeight="1">
      <c r="A40" s="4" t="s">
        <v>120</v>
      </c>
      <c r="B40" s="5" t="s">
        <v>68</v>
      </c>
      <c r="C40" s="34" t="s">
        <v>16</v>
      </c>
      <c r="D40" s="6">
        <v>0</v>
      </c>
      <c r="E40" s="6">
        <v>0</v>
      </c>
      <c r="F40" s="6">
        <v>0</v>
      </c>
      <c r="G40" s="6">
        <f t="shared" si="3"/>
        <v>0</v>
      </c>
    </row>
    <row r="41" spans="1:7" ht="15.75" customHeight="1">
      <c r="A41" s="4" t="s">
        <v>121</v>
      </c>
      <c r="B41" s="5" t="s">
        <v>70</v>
      </c>
      <c r="C41" s="34" t="s">
        <v>16</v>
      </c>
      <c r="D41" s="6">
        <f>20.7/1.18</f>
        <v>17.542372881355931</v>
      </c>
      <c r="E41" s="6">
        <f>47.43/1.18</f>
        <v>40.194915254237287</v>
      </c>
      <c r="F41" s="6">
        <f>64.88/1.18</f>
        <v>54.983050847457626</v>
      </c>
      <c r="G41" s="6">
        <f t="shared" si="3"/>
        <v>112.72033898305085</v>
      </c>
    </row>
    <row r="42" spans="1:7" ht="30">
      <c r="A42" s="4" t="s">
        <v>122</v>
      </c>
      <c r="B42" s="5" t="s">
        <v>157</v>
      </c>
      <c r="C42" s="4" t="s">
        <v>16</v>
      </c>
      <c r="D42" s="6">
        <f>D31-D20</f>
        <v>-298.16101694915255</v>
      </c>
      <c r="E42" s="6">
        <f t="shared" ref="E42:G42" si="5">E31-E20</f>
        <v>-322.66949152542361</v>
      </c>
      <c r="F42" s="6">
        <f t="shared" si="5"/>
        <v>-23.161016949152554</v>
      </c>
      <c r="G42" s="6">
        <f t="shared" si="5"/>
        <v>-643.99152542372849</v>
      </c>
    </row>
    <row r="43" spans="1:7" ht="49.5" customHeight="1">
      <c r="A43" s="72" t="s">
        <v>155</v>
      </c>
      <c r="B43" s="73"/>
      <c r="C43" s="46" t="s">
        <v>16</v>
      </c>
      <c r="D43" s="47">
        <f>D20-D18</f>
        <v>-2110.1882372881355</v>
      </c>
      <c r="E43" s="47">
        <f t="shared" ref="E43:G43" si="6">E20-E18</f>
        <v>-1659.712372881356</v>
      </c>
      <c r="F43" s="47">
        <f t="shared" si="6"/>
        <v>-1668.3805932203388</v>
      </c>
      <c r="G43" s="47">
        <f t="shared" si="6"/>
        <v>-5438.2812033898308</v>
      </c>
    </row>
    <row r="44" spans="1:7" ht="30" customHeight="1">
      <c r="A44" s="74" t="s">
        <v>156</v>
      </c>
      <c r="B44" s="75"/>
      <c r="C44" s="4" t="s">
        <v>16</v>
      </c>
      <c r="D44" s="6">
        <f>D31-D18</f>
        <v>-2408.3492542372883</v>
      </c>
      <c r="E44" s="6">
        <f t="shared" ref="E44:G44" si="7">E31-E18</f>
        <v>-1982.3818644067796</v>
      </c>
      <c r="F44" s="6">
        <f t="shared" si="7"/>
        <v>-1691.5416101694914</v>
      </c>
      <c r="G44" s="6">
        <f t="shared" si="7"/>
        <v>-6082.2727288135593</v>
      </c>
    </row>
    <row r="45" spans="1:7">
      <c r="A45" s="2"/>
      <c r="B45" s="3"/>
      <c r="C45" s="2"/>
      <c r="D45" s="2"/>
      <c r="E45" s="2"/>
      <c r="F45" s="2"/>
      <c r="G45" s="2"/>
    </row>
    <row r="46" spans="1:7">
      <c r="A46" s="2"/>
      <c r="B46" s="3"/>
      <c r="C46" s="2"/>
      <c r="D46" s="2"/>
      <c r="E46" s="2"/>
      <c r="F46" s="2"/>
      <c r="G46" s="2"/>
    </row>
    <row r="47" spans="1:7">
      <c r="A47" s="2"/>
      <c r="B47" s="3"/>
      <c r="C47" s="2"/>
      <c r="D47" s="2"/>
      <c r="E47" s="2"/>
      <c r="F47" s="2"/>
      <c r="G47" s="2"/>
    </row>
    <row r="48" spans="1:7">
      <c r="A48" s="2"/>
      <c r="B48" s="3"/>
      <c r="C48" s="2"/>
      <c r="D48" s="2"/>
      <c r="E48" s="2"/>
      <c r="F48" s="2"/>
      <c r="G48" s="2"/>
    </row>
    <row r="49" spans="1:7">
      <c r="A49" s="2"/>
      <c r="B49" s="3"/>
      <c r="C49" s="2"/>
      <c r="D49" s="2"/>
      <c r="E49" s="2"/>
      <c r="F49" s="2"/>
      <c r="G49" s="2"/>
    </row>
    <row r="50" spans="1:7">
      <c r="A50" s="2"/>
      <c r="B50" s="3"/>
      <c r="C50" s="2"/>
      <c r="D50" s="2"/>
      <c r="E50" s="2"/>
      <c r="F50" s="2"/>
      <c r="G50" s="2"/>
    </row>
    <row r="51" spans="1:7">
      <c r="A51" s="2"/>
      <c r="B51" s="3"/>
      <c r="C51" s="2"/>
      <c r="D51" s="2"/>
      <c r="E51" s="2"/>
      <c r="F51" s="2"/>
      <c r="G51" s="2"/>
    </row>
    <row r="52" spans="1:7">
      <c r="A52" s="2"/>
      <c r="B52" s="3"/>
      <c r="C52" s="2"/>
      <c r="D52" s="2"/>
      <c r="E52" s="2"/>
      <c r="F52" s="2"/>
      <c r="G52" s="2"/>
    </row>
    <row r="53" spans="1:7">
      <c r="A53" s="2"/>
      <c r="B53" s="3"/>
      <c r="C53" s="2"/>
      <c r="D53" s="2"/>
      <c r="E53" s="2"/>
      <c r="F53" s="2"/>
      <c r="G53" s="2"/>
    </row>
    <row r="54" spans="1:7">
      <c r="A54" s="2"/>
      <c r="B54" s="3"/>
      <c r="C54" s="2"/>
      <c r="D54" s="2"/>
      <c r="E54" s="2"/>
      <c r="F54" s="2"/>
      <c r="G54" s="2"/>
    </row>
    <row r="55" spans="1:7">
      <c r="A55" s="2"/>
      <c r="B55" s="3"/>
      <c r="C55" s="2"/>
      <c r="D55" s="2"/>
      <c r="E55" s="2"/>
      <c r="F55" s="2"/>
      <c r="G55" s="2"/>
    </row>
    <row r="56" spans="1:7">
      <c r="A56" s="2"/>
      <c r="B56" s="3"/>
      <c r="C56" s="2"/>
      <c r="D56" s="2"/>
      <c r="E56" s="2"/>
      <c r="F56" s="2"/>
      <c r="G56" s="2"/>
    </row>
    <row r="57" spans="1:7">
      <c r="A57" s="2"/>
      <c r="B57" s="3"/>
      <c r="C57" s="2"/>
      <c r="D57" s="2"/>
      <c r="E57" s="2"/>
      <c r="F57" s="2"/>
      <c r="G57" s="2"/>
    </row>
    <row r="58" spans="1:7">
      <c r="A58" s="2"/>
      <c r="B58" s="3"/>
      <c r="C58" s="2"/>
      <c r="D58" s="2"/>
      <c r="E58" s="2"/>
      <c r="F58" s="2"/>
      <c r="G58" s="2"/>
    </row>
    <row r="59" spans="1:7">
      <c r="A59" s="2"/>
      <c r="B59" s="3"/>
      <c r="C59" s="2"/>
      <c r="D59" s="2"/>
      <c r="E59" s="2"/>
      <c r="F59" s="2"/>
      <c r="G59" s="2"/>
    </row>
    <row r="60" spans="1:7">
      <c r="A60" s="2"/>
      <c r="B60" s="3"/>
      <c r="C60" s="2"/>
      <c r="D60" s="2"/>
      <c r="E60" s="2"/>
      <c r="F60" s="2"/>
      <c r="G60" s="2"/>
    </row>
    <row r="61" spans="1:7">
      <c r="A61" s="2"/>
      <c r="B61" s="3"/>
      <c r="C61" s="2"/>
      <c r="D61" s="2"/>
      <c r="E61" s="2"/>
      <c r="F61" s="2"/>
      <c r="G61" s="2"/>
    </row>
    <row r="62" spans="1:7">
      <c r="A62" s="2"/>
      <c r="B62" s="3"/>
      <c r="C62" s="2"/>
      <c r="D62" s="2"/>
      <c r="E62" s="2"/>
      <c r="F62" s="2"/>
      <c r="G62" s="2"/>
    </row>
    <row r="63" spans="1:7">
      <c r="A63" s="2"/>
      <c r="B63" s="3"/>
      <c r="C63" s="2"/>
      <c r="D63" s="2"/>
      <c r="E63" s="2"/>
      <c r="F63" s="2"/>
      <c r="G63" s="2"/>
    </row>
    <row r="64" spans="1:7">
      <c r="A64" s="2"/>
      <c r="B64" s="3"/>
      <c r="C64" s="2"/>
      <c r="D64" s="2"/>
      <c r="E64" s="2"/>
      <c r="F64" s="2"/>
      <c r="G64" s="2"/>
    </row>
    <row r="65" spans="1:7">
      <c r="A65" s="2"/>
      <c r="B65" s="3"/>
      <c r="C65" s="2"/>
      <c r="D65" s="2"/>
      <c r="E65" s="2"/>
      <c r="F65" s="2"/>
      <c r="G65" s="2"/>
    </row>
    <row r="66" spans="1:7">
      <c r="A66" s="2"/>
      <c r="B66" s="3"/>
      <c r="C66" s="2"/>
      <c r="D66" s="2"/>
      <c r="E66" s="2"/>
      <c r="F66" s="2"/>
      <c r="G66" s="2"/>
    </row>
    <row r="67" spans="1:7">
      <c r="A67" s="2"/>
      <c r="B67" s="3"/>
      <c r="C67" s="2"/>
      <c r="D67" s="2"/>
      <c r="E67" s="2"/>
      <c r="F67" s="2"/>
      <c r="G67" s="2"/>
    </row>
    <row r="68" spans="1:7">
      <c r="A68" s="2"/>
      <c r="B68" s="3"/>
      <c r="C68" s="2"/>
      <c r="D68" s="2"/>
      <c r="E68" s="2"/>
      <c r="F68" s="2"/>
      <c r="G68" s="2"/>
    </row>
    <row r="69" spans="1:7">
      <c r="A69" s="2"/>
      <c r="B69" s="3"/>
      <c r="C69" s="2"/>
      <c r="D69" s="2"/>
      <c r="E69" s="2"/>
      <c r="F69" s="2"/>
      <c r="G69" s="2"/>
    </row>
    <row r="70" spans="1:7">
      <c r="A70" s="2"/>
      <c r="B70" s="3"/>
      <c r="C70" s="2"/>
      <c r="D70" s="2"/>
      <c r="E70" s="2"/>
      <c r="F70" s="2"/>
      <c r="G70" s="2"/>
    </row>
    <row r="71" spans="1:7">
      <c r="A71" s="2"/>
      <c r="B71" s="3"/>
      <c r="C71" s="2"/>
      <c r="D71" s="2"/>
      <c r="E71" s="2"/>
      <c r="F71" s="2"/>
      <c r="G71" s="2"/>
    </row>
    <row r="72" spans="1:7">
      <c r="A72" s="2"/>
      <c r="B72" s="3"/>
      <c r="C72" s="2"/>
      <c r="D72" s="2"/>
      <c r="E72" s="2"/>
      <c r="F72" s="2"/>
      <c r="G72" s="2"/>
    </row>
    <row r="73" spans="1:7">
      <c r="A73" s="2"/>
      <c r="B73" s="3"/>
      <c r="C73" s="2"/>
      <c r="D73" s="2"/>
      <c r="E73" s="2"/>
      <c r="F73" s="2"/>
      <c r="G73" s="2"/>
    </row>
    <row r="74" spans="1:7">
      <c r="A74" s="2"/>
      <c r="B74" s="3"/>
      <c r="C74" s="2"/>
      <c r="D74" s="2"/>
      <c r="E74" s="2"/>
      <c r="F74" s="2"/>
      <c r="G74" s="2"/>
    </row>
    <row r="75" spans="1:7">
      <c r="A75" s="2"/>
      <c r="B75" s="3"/>
      <c r="C75" s="2"/>
      <c r="D75" s="2"/>
      <c r="E75" s="2"/>
      <c r="F75" s="2"/>
      <c r="G75" s="2"/>
    </row>
    <row r="76" spans="1:7">
      <c r="A76" s="2"/>
      <c r="B76" s="3"/>
      <c r="C76" s="2"/>
      <c r="D76" s="2"/>
      <c r="E76" s="2"/>
      <c r="F76" s="2"/>
      <c r="G76" s="2"/>
    </row>
    <row r="77" spans="1:7">
      <c r="A77" s="2"/>
      <c r="B77" s="3"/>
      <c r="C77" s="2"/>
      <c r="D77" s="2"/>
      <c r="E77" s="2"/>
      <c r="F77" s="2"/>
      <c r="G77" s="2"/>
    </row>
    <row r="78" spans="1:7">
      <c r="A78" s="2"/>
      <c r="B78" s="3"/>
      <c r="C78" s="2"/>
      <c r="D78" s="2"/>
      <c r="E78" s="2"/>
      <c r="F78" s="2"/>
      <c r="G78" s="2"/>
    </row>
    <row r="79" spans="1:7">
      <c r="A79" s="2"/>
      <c r="B79" s="3"/>
      <c r="C79" s="2"/>
      <c r="D79" s="2"/>
      <c r="E79" s="2"/>
      <c r="F79" s="2"/>
      <c r="G79" s="2"/>
    </row>
    <row r="80" spans="1:7">
      <c r="A80" s="2"/>
      <c r="B80" s="3"/>
      <c r="C80" s="2"/>
      <c r="D80" s="2"/>
      <c r="E80" s="2"/>
      <c r="F80" s="2"/>
      <c r="G80" s="2"/>
    </row>
    <row r="81" spans="1:7">
      <c r="A81" s="2"/>
      <c r="B81" s="3"/>
      <c r="C81" s="2"/>
      <c r="D81" s="2"/>
      <c r="E81" s="2"/>
      <c r="F81" s="2"/>
      <c r="G81" s="2"/>
    </row>
    <row r="82" spans="1:7">
      <c r="A82" s="2"/>
      <c r="B82" s="3"/>
      <c r="C82" s="2"/>
      <c r="D82" s="2"/>
      <c r="E82" s="2"/>
      <c r="F82" s="2"/>
      <c r="G82" s="2"/>
    </row>
    <row r="83" spans="1:7">
      <c r="A83" s="2"/>
      <c r="B83" s="3"/>
      <c r="C83" s="2"/>
      <c r="D83" s="2"/>
      <c r="E83" s="2"/>
      <c r="F83" s="2"/>
      <c r="G83" s="2"/>
    </row>
    <row r="84" spans="1:7">
      <c r="A84" s="2"/>
      <c r="B84" s="3"/>
      <c r="C84" s="2"/>
      <c r="D84" s="2"/>
      <c r="E84" s="2"/>
      <c r="F84" s="2"/>
      <c r="G84" s="2"/>
    </row>
    <row r="85" spans="1:7">
      <c r="A85" s="2"/>
      <c r="B85" s="3"/>
      <c r="C85" s="2"/>
      <c r="D85" s="2"/>
      <c r="E85" s="2"/>
      <c r="F85" s="2"/>
      <c r="G85" s="2"/>
    </row>
    <row r="86" spans="1:7">
      <c r="A86" s="2"/>
      <c r="B86" s="3"/>
      <c r="C86" s="2"/>
      <c r="D86" s="2"/>
      <c r="E86" s="2"/>
      <c r="F86" s="2"/>
      <c r="G86" s="2"/>
    </row>
    <row r="87" spans="1:7">
      <c r="A87" s="2"/>
      <c r="B87" s="3"/>
      <c r="C87" s="2"/>
      <c r="D87" s="2"/>
      <c r="E87" s="2"/>
      <c r="F87" s="2"/>
      <c r="G87" s="2"/>
    </row>
    <row r="88" spans="1:7">
      <c r="A88" s="2"/>
      <c r="B88" s="3"/>
      <c r="C88" s="2"/>
      <c r="D88" s="2"/>
      <c r="E88" s="2"/>
      <c r="F88" s="2"/>
      <c r="G88" s="2"/>
    </row>
    <row r="89" spans="1:7">
      <c r="A89" s="2"/>
      <c r="B89" s="3"/>
      <c r="C89" s="2"/>
      <c r="D89" s="2"/>
      <c r="E89" s="2"/>
      <c r="F89" s="2"/>
      <c r="G89" s="2"/>
    </row>
    <row r="90" spans="1:7">
      <c r="A90" s="2"/>
      <c r="B90" s="3"/>
      <c r="C90" s="2"/>
      <c r="D90" s="2"/>
      <c r="E90" s="2"/>
      <c r="F90" s="2"/>
      <c r="G90" s="2"/>
    </row>
    <row r="91" spans="1:7">
      <c r="A91" s="2"/>
      <c r="B91" s="3"/>
      <c r="C91" s="2"/>
      <c r="D91" s="2"/>
      <c r="E91" s="2"/>
      <c r="F91" s="2"/>
      <c r="G91" s="2"/>
    </row>
    <row r="92" spans="1:7">
      <c r="A92" s="2"/>
      <c r="B92" s="3"/>
      <c r="C92" s="2"/>
      <c r="D92" s="2"/>
      <c r="E92" s="2"/>
      <c r="F92" s="2"/>
      <c r="G92" s="2"/>
    </row>
    <row r="93" spans="1:7">
      <c r="A93" s="2"/>
      <c r="B93" s="3"/>
      <c r="C93" s="2"/>
      <c r="D93" s="2"/>
      <c r="E93" s="2"/>
      <c r="F93" s="2"/>
      <c r="G93" s="2"/>
    </row>
    <row r="94" spans="1:7">
      <c r="A94" s="2"/>
      <c r="B94" s="3"/>
      <c r="C94" s="2"/>
      <c r="D94" s="2"/>
      <c r="E94" s="2"/>
      <c r="F94" s="2"/>
      <c r="G94" s="2"/>
    </row>
    <row r="95" spans="1:7">
      <c r="A95" s="2"/>
      <c r="B95" s="3"/>
      <c r="C95" s="2"/>
      <c r="D95" s="2"/>
      <c r="E95" s="2"/>
      <c r="F95" s="2"/>
      <c r="G95" s="2"/>
    </row>
    <row r="96" spans="1:7">
      <c r="A96" s="2"/>
      <c r="B96" s="3"/>
      <c r="C96" s="2"/>
      <c r="D96" s="2"/>
      <c r="E96" s="2"/>
      <c r="F96" s="2"/>
      <c r="G96" s="2"/>
    </row>
    <row r="97" spans="1:7">
      <c r="A97" s="2"/>
      <c r="B97" s="3"/>
      <c r="C97" s="2"/>
      <c r="D97" s="2"/>
      <c r="E97" s="2"/>
      <c r="F97" s="2"/>
      <c r="G97" s="2"/>
    </row>
    <row r="98" spans="1:7">
      <c r="A98" s="2"/>
      <c r="B98" s="3"/>
      <c r="C98" s="2"/>
      <c r="D98" s="2"/>
      <c r="E98" s="2"/>
      <c r="F98" s="2"/>
      <c r="G98" s="2"/>
    </row>
    <row r="99" spans="1:7">
      <c r="A99" s="2"/>
      <c r="B99" s="3"/>
      <c r="C99" s="2"/>
      <c r="D99" s="2"/>
      <c r="E99" s="2"/>
      <c r="F99" s="2"/>
      <c r="G99" s="2"/>
    </row>
    <row r="100" spans="1:7">
      <c r="A100" s="2"/>
      <c r="B100" s="3"/>
      <c r="C100" s="2"/>
      <c r="D100" s="2"/>
      <c r="E100" s="2"/>
      <c r="F100" s="2"/>
      <c r="G100" s="2"/>
    </row>
    <row r="101" spans="1:7">
      <c r="A101" s="2"/>
      <c r="B101" s="3"/>
      <c r="C101" s="2"/>
      <c r="D101" s="2"/>
      <c r="E101" s="2"/>
      <c r="F101" s="2"/>
      <c r="G101" s="2"/>
    </row>
    <row r="102" spans="1:7">
      <c r="A102" s="2"/>
      <c r="B102" s="3"/>
      <c r="C102" s="2"/>
      <c r="D102" s="2"/>
      <c r="E102" s="2"/>
      <c r="F102" s="2"/>
      <c r="G102" s="2"/>
    </row>
    <row r="103" spans="1:7">
      <c r="A103" s="2"/>
      <c r="B103" s="3"/>
      <c r="C103" s="2"/>
      <c r="D103" s="2"/>
      <c r="E103" s="2"/>
      <c r="F103" s="2"/>
      <c r="G103" s="2"/>
    </row>
    <row r="104" spans="1:7">
      <c r="A104" s="2"/>
      <c r="B104" s="3"/>
      <c r="C104" s="2"/>
      <c r="D104" s="2"/>
      <c r="E104" s="2"/>
      <c r="F104" s="2"/>
      <c r="G104" s="2"/>
    </row>
    <row r="105" spans="1:7">
      <c r="A105" s="2"/>
      <c r="B105" s="3"/>
      <c r="C105" s="2"/>
      <c r="D105" s="2"/>
      <c r="E105" s="2"/>
      <c r="F105" s="2"/>
      <c r="G105" s="2"/>
    </row>
    <row r="106" spans="1:7">
      <c r="A106" s="2"/>
      <c r="B106" s="3"/>
      <c r="C106" s="2"/>
      <c r="D106" s="2"/>
      <c r="E106" s="2"/>
      <c r="F106" s="2"/>
      <c r="G106" s="2"/>
    </row>
    <row r="107" spans="1:7">
      <c r="A107" s="2"/>
      <c r="B107" s="3"/>
      <c r="C107" s="2"/>
      <c r="D107" s="2"/>
      <c r="E107" s="2"/>
      <c r="F107" s="2"/>
      <c r="G107" s="2"/>
    </row>
    <row r="108" spans="1:7">
      <c r="A108" s="2"/>
      <c r="B108" s="3"/>
      <c r="C108" s="2"/>
      <c r="D108" s="2"/>
      <c r="E108" s="2"/>
      <c r="F108" s="2"/>
      <c r="G108" s="2"/>
    </row>
    <row r="109" spans="1:7">
      <c r="A109" s="2"/>
      <c r="B109" s="3"/>
      <c r="C109" s="2"/>
      <c r="D109" s="2"/>
      <c r="E109" s="2"/>
      <c r="F109" s="2"/>
      <c r="G109" s="2"/>
    </row>
    <row r="110" spans="1:7">
      <c r="A110" s="2"/>
      <c r="B110" s="3"/>
      <c r="C110" s="2"/>
      <c r="D110" s="2"/>
      <c r="E110" s="2"/>
      <c r="F110" s="2"/>
      <c r="G110" s="2"/>
    </row>
    <row r="111" spans="1:7">
      <c r="A111" s="2"/>
      <c r="B111" s="3"/>
      <c r="C111" s="2"/>
      <c r="D111" s="2"/>
      <c r="E111" s="2"/>
      <c r="F111" s="2"/>
      <c r="G111" s="2"/>
    </row>
    <row r="112" spans="1:7">
      <c r="A112" s="2"/>
      <c r="B112" s="3"/>
      <c r="C112" s="2"/>
      <c r="D112" s="2"/>
      <c r="E112" s="2"/>
      <c r="F112" s="2"/>
      <c r="G112" s="2"/>
    </row>
    <row r="113" spans="1:7">
      <c r="A113" s="2"/>
      <c r="B113" s="3"/>
      <c r="C113" s="2"/>
      <c r="D113" s="2"/>
      <c r="E113" s="2"/>
      <c r="F113" s="2"/>
      <c r="G113" s="2"/>
    </row>
    <row r="114" spans="1:7">
      <c r="A114" s="2"/>
      <c r="B114" s="3"/>
      <c r="C114" s="2"/>
      <c r="D114" s="2"/>
      <c r="E114" s="2"/>
      <c r="F114" s="2"/>
      <c r="G114" s="2"/>
    </row>
    <row r="115" spans="1:7">
      <c r="A115" s="2"/>
      <c r="B115" s="3"/>
      <c r="C115" s="2"/>
      <c r="D115" s="2"/>
      <c r="E115" s="2"/>
      <c r="F115" s="2"/>
      <c r="G115" s="2"/>
    </row>
    <row r="116" spans="1:7">
      <c r="A116" s="2"/>
      <c r="B116" s="3"/>
      <c r="C116" s="2"/>
      <c r="D116" s="2"/>
      <c r="E116" s="2"/>
      <c r="F116" s="2"/>
      <c r="G116" s="2"/>
    </row>
    <row r="117" spans="1:7">
      <c r="A117" s="2"/>
      <c r="B117" s="3"/>
      <c r="C117" s="2"/>
      <c r="D117" s="2"/>
      <c r="E117" s="2"/>
      <c r="F117" s="2"/>
      <c r="G117" s="2"/>
    </row>
    <row r="118" spans="1:7">
      <c r="A118" s="2"/>
      <c r="B118" s="3"/>
      <c r="C118" s="2"/>
      <c r="D118" s="2"/>
      <c r="E118" s="2"/>
      <c r="F118" s="2"/>
      <c r="G118" s="2"/>
    </row>
    <row r="119" spans="1:7">
      <c r="A119" s="2"/>
      <c r="B119" s="3"/>
      <c r="C119" s="2"/>
      <c r="D119" s="2"/>
      <c r="E119" s="2"/>
      <c r="F119" s="2"/>
      <c r="G119" s="2"/>
    </row>
    <row r="120" spans="1:7">
      <c r="A120" s="2"/>
      <c r="B120" s="3"/>
      <c r="C120" s="2"/>
      <c r="D120" s="2"/>
      <c r="E120" s="2"/>
      <c r="F120" s="2"/>
      <c r="G120" s="2"/>
    </row>
    <row r="121" spans="1:7">
      <c r="A121" s="2"/>
      <c r="B121" s="3"/>
      <c r="C121" s="2"/>
      <c r="D121" s="2"/>
      <c r="E121" s="2"/>
      <c r="F121" s="2"/>
      <c r="G121" s="2"/>
    </row>
    <row r="122" spans="1:7">
      <c r="A122" s="2"/>
      <c r="B122" s="3"/>
      <c r="C122" s="2"/>
      <c r="D122" s="2"/>
      <c r="E122" s="2"/>
      <c r="F122" s="2"/>
      <c r="G122" s="2"/>
    </row>
    <row r="123" spans="1:7">
      <c r="A123" s="2"/>
      <c r="B123" s="3"/>
      <c r="C123" s="2"/>
      <c r="D123" s="2"/>
      <c r="E123" s="2"/>
      <c r="F123" s="2"/>
      <c r="G123" s="2"/>
    </row>
    <row r="124" spans="1:7">
      <c r="A124" s="2"/>
      <c r="B124" s="3"/>
      <c r="C124" s="2"/>
      <c r="D124" s="2"/>
      <c r="E124" s="2"/>
      <c r="F124" s="2"/>
      <c r="G124" s="2"/>
    </row>
    <row r="125" spans="1:7">
      <c r="A125" s="2"/>
      <c r="B125" s="3"/>
      <c r="C125" s="2"/>
      <c r="D125" s="2"/>
      <c r="E125" s="2"/>
      <c r="F125" s="2"/>
      <c r="G125" s="2"/>
    </row>
    <row r="126" spans="1:7">
      <c r="A126" s="2"/>
      <c r="B126" s="3"/>
      <c r="C126" s="2"/>
      <c r="D126" s="2"/>
      <c r="E126" s="2"/>
      <c r="F126" s="2"/>
      <c r="G126" s="2"/>
    </row>
    <row r="127" spans="1:7">
      <c r="A127" s="2"/>
      <c r="B127" s="3"/>
      <c r="C127" s="2"/>
      <c r="D127" s="2"/>
      <c r="E127" s="2"/>
      <c r="F127" s="2"/>
      <c r="G127" s="2"/>
    </row>
    <row r="128" spans="1:7">
      <c r="A128" s="2"/>
      <c r="B128" s="3"/>
      <c r="C128" s="2"/>
      <c r="D128" s="2"/>
      <c r="E128" s="2"/>
      <c r="F128" s="2"/>
      <c r="G128" s="2"/>
    </row>
    <row r="129" spans="1:7">
      <c r="A129" s="2"/>
      <c r="B129" s="3"/>
      <c r="C129" s="2"/>
      <c r="D129" s="2"/>
      <c r="E129" s="2"/>
      <c r="F129" s="2"/>
      <c r="G129" s="2"/>
    </row>
    <row r="130" spans="1:7">
      <c r="A130" s="2"/>
      <c r="B130" s="3"/>
      <c r="C130" s="2"/>
      <c r="D130" s="2"/>
      <c r="E130" s="2"/>
      <c r="F130" s="2"/>
      <c r="G130" s="2"/>
    </row>
    <row r="131" spans="1:7">
      <c r="A131" s="2"/>
      <c r="B131" s="3"/>
      <c r="C131" s="2"/>
      <c r="D131" s="2"/>
      <c r="E131" s="2"/>
      <c r="F131" s="2"/>
      <c r="G131" s="2"/>
    </row>
    <row r="132" spans="1:7">
      <c r="A132" s="2"/>
      <c r="B132" s="3"/>
      <c r="C132" s="2"/>
      <c r="D132" s="2"/>
      <c r="E132" s="2"/>
      <c r="F132" s="2"/>
      <c r="G132" s="2"/>
    </row>
    <row r="133" spans="1:7">
      <c r="A133" s="2"/>
      <c r="B133" s="3"/>
      <c r="C133" s="2"/>
      <c r="D133" s="2"/>
      <c r="E133" s="2"/>
      <c r="F133" s="2"/>
      <c r="G133" s="2"/>
    </row>
    <row r="134" spans="1:7">
      <c r="A134" s="2"/>
      <c r="B134" s="3"/>
      <c r="C134" s="2"/>
      <c r="D134" s="2"/>
      <c r="E134" s="2"/>
      <c r="F134" s="2"/>
      <c r="G134" s="2"/>
    </row>
    <row r="135" spans="1:7">
      <c r="A135" s="2"/>
      <c r="B135" s="3"/>
      <c r="C135" s="2"/>
      <c r="D135" s="2"/>
      <c r="E135" s="2"/>
      <c r="F135" s="2"/>
      <c r="G135" s="2"/>
    </row>
    <row r="136" spans="1:7">
      <c r="A136" s="2"/>
      <c r="B136" s="3"/>
      <c r="C136" s="2"/>
      <c r="D136" s="2"/>
      <c r="E136" s="2"/>
      <c r="F136" s="2"/>
      <c r="G136" s="2"/>
    </row>
    <row r="137" spans="1:7">
      <c r="A137" s="2"/>
      <c r="B137" s="3"/>
      <c r="C137" s="2"/>
      <c r="D137" s="2"/>
      <c r="E137" s="2"/>
      <c r="F137" s="2"/>
      <c r="G137" s="2"/>
    </row>
    <row r="138" spans="1:7">
      <c r="A138" s="2"/>
      <c r="B138" s="3"/>
      <c r="C138" s="2"/>
      <c r="D138" s="2"/>
      <c r="E138" s="2"/>
      <c r="F138" s="2"/>
      <c r="G138" s="2"/>
    </row>
    <row r="139" spans="1:7">
      <c r="A139" s="2"/>
      <c r="B139" s="3"/>
      <c r="C139" s="2"/>
      <c r="D139" s="2"/>
      <c r="E139" s="2"/>
      <c r="F139" s="2"/>
      <c r="G139" s="2"/>
    </row>
    <row r="140" spans="1:7">
      <c r="A140" s="2"/>
      <c r="B140" s="3"/>
      <c r="C140" s="2"/>
      <c r="D140" s="2"/>
      <c r="E140" s="2"/>
      <c r="F140" s="2"/>
      <c r="G140" s="2"/>
    </row>
    <row r="141" spans="1:7">
      <c r="A141" s="2"/>
      <c r="B141" s="3"/>
      <c r="C141" s="2"/>
      <c r="D141" s="2"/>
      <c r="E141" s="2"/>
      <c r="F141" s="2"/>
      <c r="G141" s="2"/>
    </row>
    <row r="142" spans="1:7">
      <c r="A142" s="2"/>
      <c r="B142" s="3"/>
      <c r="C142" s="2"/>
      <c r="D142" s="2"/>
      <c r="E142" s="2"/>
      <c r="F142" s="2"/>
      <c r="G142" s="2"/>
    </row>
    <row r="143" spans="1:7">
      <c r="A143" s="2"/>
      <c r="B143" s="3"/>
      <c r="C143" s="2"/>
      <c r="D143" s="2"/>
      <c r="E143" s="2"/>
      <c r="F143" s="2"/>
      <c r="G143" s="2"/>
    </row>
    <row r="144" spans="1:7">
      <c r="A144" s="2"/>
      <c r="B144" s="3"/>
      <c r="C144" s="2"/>
      <c r="D144" s="2"/>
      <c r="E144" s="2"/>
      <c r="F144" s="2"/>
      <c r="G144" s="2"/>
    </row>
    <row r="145" spans="1:7">
      <c r="A145" s="2"/>
      <c r="B145" s="3"/>
      <c r="C145" s="2"/>
      <c r="D145" s="2"/>
      <c r="E145" s="2"/>
      <c r="F145" s="2"/>
      <c r="G145" s="2"/>
    </row>
    <row r="146" spans="1:7">
      <c r="A146" s="2"/>
      <c r="B146" s="3"/>
      <c r="C146" s="2"/>
      <c r="D146" s="2"/>
      <c r="E146" s="2"/>
      <c r="F146" s="2"/>
      <c r="G146" s="2"/>
    </row>
    <row r="147" spans="1:7">
      <c r="A147" s="2"/>
      <c r="B147" s="3"/>
      <c r="C147" s="2"/>
      <c r="D147" s="2"/>
      <c r="E147" s="2"/>
      <c r="F147" s="2"/>
      <c r="G147" s="2"/>
    </row>
    <row r="148" spans="1:7">
      <c r="A148" s="2"/>
      <c r="B148" s="3"/>
      <c r="C148" s="2"/>
      <c r="D148" s="2"/>
      <c r="E148" s="2"/>
      <c r="F148" s="2"/>
      <c r="G148" s="2"/>
    </row>
    <row r="149" spans="1:7">
      <c r="A149" s="2"/>
      <c r="B149" s="3"/>
      <c r="C149" s="2"/>
      <c r="D149" s="2"/>
      <c r="E149" s="2"/>
      <c r="F149" s="2"/>
      <c r="G149" s="2"/>
    </row>
    <row r="150" spans="1:7">
      <c r="A150" s="2"/>
      <c r="B150" s="3"/>
      <c r="C150" s="2"/>
      <c r="D150" s="2"/>
      <c r="E150" s="2"/>
      <c r="F150" s="2"/>
      <c r="G150" s="2"/>
    </row>
    <row r="151" spans="1:7">
      <c r="A151" s="2"/>
      <c r="B151" s="3"/>
      <c r="C151" s="2"/>
      <c r="D151" s="2"/>
      <c r="E151" s="2"/>
      <c r="F151" s="2"/>
      <c r="G151" s="2"/>
    </row>
    <row r="152" spans="1:7">
      <c r="A152" s="2"/>
      <c r="B152" s="3"/>
      <c r="C152" s="2"/>
      <c r="D152" s="2"/>
      <c r="E152" s="2"/>
      <c r="F152" s="2"/>
      <c r="G152" s="2"/>
    </row>
    <row r="153" spans="1:7">
      <c r="A153" s="2"/>
      <c r="B153" s="3"/>
      <c r="C153" s="2"/>
      <c r="D153" s="2"/>
      <c r="E153" s="2"/>
      <c r="F153" s="2"/>
      <c r="G153" s="2"/>
    </row>
    <row r="154" spans="1:7">
      <c r="A154" s="2"/>
      <c r="B154" s="3"/>
      <c r="C154" s="2"/>
      <c r="D154" s="2"/>
      <c r="E154" s="2"/>
      <c r="F154" s="2"/>
      <c r="G154" s="2"/>
    </row>
    <row r="155" spans="1:7">
      <c r="A155" s="2"/>
      <c r="B155" s="3"/>
      <c r="C155" s="2"/>
      <c r="D155" s="2"/>
      <c r="E155" s="2"/>
      <c r="F155" s="2"/>
      <c r="G155" s="2"/>
    </row>
    <row r="156" spans="1:7">
      <c r="A156" s="2"/>
      <c r="B156" s="3"/>
      <c r="C156" s="2"/>
      <c r="D156" s="2"/>
      <c r="E156" s="2"/>
      <c r="F156" s="2"/>
      <c r="G156" s="2"/>
    </row>
    <row r="157" spans="1:7">
      <c r="A157" s="2"/>
      <c r="B157" s="3"/>
      <c r="C157" s="2"/>
      <c r="D157" s="2"/>
      <c r="E157" s="2"/>
      <c r="F157" s="2"/>
      <c r="G157" s="2"/>
    </row>
    <row r="158" spans="1:7">
      <c r="A158" s="2"/>
      <c r="B158" s="3"/>
      <c r="C158" s="2"/>
      <c r="D158" s="2"/>
      <c r="E158" s="2"/>
      <c r="F158" s="2"/>
      <c r="G158" s="2"/>
    </row>
    <row r="159" spans="1:7">
      <c r="A159" s="2"/>
      <c r="B159" s="3"/>
      <c r="C159" s="2"/>
      <c r="D159" s="2"/>
      <c r="E159" s="2"/>
      <c r="F159" s="2"/>
      <c r="G159" s="2"/>
    </row>
    <row r="160" spans="1:7">
      <c r="A160" s="2"/>
      <c r="B160" s="3"/>
      <c r="C160" s="2"/>
      <c r="D160" s="2"/>
      <c r="E160" s="2"/>
      <c r="F160" s="2"/>
      <c r="G160" s="2"/>
    </row>
    <row r="161" spans="1:7">
      <c r="A161" s="2"/>
      <c r="B161" s="3"/>
      <c r="C161" s="2"/>
      <c r="D161" s="2"/>
      <c r="E161" s="2"/>
      <c r="F161" s="2"/>
      <c r="G161" s="2"/>
    </row>
    <row r="162" spans="1:7">
      <c r="A162" s="2"/>
      <c r="B162" s="3"/>
      <c r="C162" s="2"/>
      <c r="D162" s="2"/>
      <c r="E162" s="2"/>
      <c r="F162" s="2"/>
      <c r="G162" s="2"/>
    </row>
    <row r="163" spans="1:7">
      <c r="A163" s="2"/>
      <c r="B163" s="3"/>
      <c r="C163" s="2"/>
      <c r="D163" s="2"/>
      <c r="E163" s="2"/>
      <c r="F163" s="2"/>
      <c r="G163" s="2"/>
    </row>
    <row r="164" spans="1:7">
      <c r="A164" s="2"/>
      <c r="B164" s="3"/>
      <c r="C164" s="2"/>
      <c r="D164" s="2"/>
      <c r="E164" s="2"/>
      <c r="F164" s="2"/>
      <c r="G164" s="2"/>
    </row>
    <row r="165" spans="1:7">
      <c r="A165" s="2"/>
      <c r="B165" s="3"/>
      <c r="C165" s="2"/>
      <c r="D165" s="2"/>
      <c r="E165" s="2"/>
      <c r="F165" s="2"/>
      <c r="G165" s="2"/>
    </row>
    <row r="166" spans="1:7">
      <c r="A166" s="2"/>
      <c r="B166" s="3"/>
      <c r="C166" s="2"/>
      <c r="D166" s="2"/>
      <c r="E166" s="2"/>
      <c r="F166" s="2"/>
      <c r="G166" s="2"/>
    </row>
    <row r="167" spans="1:7">
      <c r="A167" s="2"/>
      <c r="B167" s="3"/>
      <c r="C167" s="2"/>
      <c r="D167" s="2"/>
      <c r="E167" s="2"/>
      <c r="F167" s="2"/>
      <c r="G167" s="2"/>
    </row>
    <row r="168" spans="1:7">
      <c r="A168" s="2"/>
      <c r="B168" s="3"/>
      <c r="C168" s="2"/>
      <c r="D168" s="2"/>
      <c r="E168" s="2"/>
      <c r="F168" s="2"/>
      <c r="G168" s="2"/>
    </row>
    <row r="169" spans="1:7">
      <c r="A169" s="2"/>
      <c r="B169" s="3"/>
      <c r="C169" s="2"/>
      <c r="D169" s="2"/>
      <c r="E169" s="2"/>
      <c r="F169" s="2"/>
      <c r="G169" s="2"/>
    </row>
    <row r="170" spans="1:7">
      <c r="A170" s="2"/>
      <c r="B170" s="3"/>
      <c r="C170" s="2"/>
      <c r="D170" s="2"/>
      <c r="E170" s="2"/>
      <c r="F170" s="2"/>
      <c r="G170" s="2"/>
    </row>
    <row r="171" spans="1:7">
      <c r="A171" s="2"/>
      <c r="B171" s="3"/>
      <c r="C171" s="2"/>
      <c r="D171" s="2"/>
      <c r="E171" s="2"/>
      <c r="F171" s="2"/>
      <c r="G171" s="2"/>
    </row>
    <row r="172" spans="1:7">
      <c r="A172" s="2"/>
      <c r="B172" s="3"/>
      <c r="C172" s="2"/>
      <c r="D172" s="2"/>
      <c r="E172" s="2"/>
      <c r="F172" s="2"/>
      <c r="G172" s="2"/>
    </row>
    <row r="173" spans="1:7">
      <c r="A173" s="2"/>
      <c r="B173" s="3"/>
      <c r="C173" s="2"/>
      <c r="D173" s="2"/>
      <c r="E173" s="2"/>
      <c r="F173" s="2"/>
      <c r="G173" s="2"/>
    </row>
    <row r="174" spans="1:7">
      <c r="A174" s="2"/>
      <c r="B174" s="3"/>
      <c r="C174" s="2"/>
      <c r="D174" s="2"/>
      <c r="E174" s="2"/>
      <c r="F174" s="2"/>
      <c r="G174" s="2"/>
    </row>
    <row r="175" spans="1:7">
      <c r="A175" s="2"/>
      <c r="B175" s="3"/>
      <c r="C175" s="2"/>
      <c r="D175" s="2"/>
      <c r="E175" s="2"/>
      <c r="F175" s="2"/>
      <c r="G175" s="2"/>
    </row>
    <row r="176" spans="1:7">
      <c r="A176" s="2"/>
      <c r="B176" s="3"/>
      <c r="C176" s="2"/>
      <c r="D176" s="2"/>
      <c r="E176" s="2"/>
      <c r="F176" s="2"/>
      <c r="G176" s="2"/>
    </row>
    <row r="177" spans="1:7">
      <c r="A177" s="2"/>
      <c r="B177" s="3"/>
      <c r="C177" s="2"/>
      <c r="D177" s="2"/>
      <c r="E177" s="2"/>
      <c r="F177" s="2"/>
      <c r="G177" s="2"/>
    </row>
    <row r="178" spans="1:7">
      <c r="A178" s="2"/>
      <c r="B178" s="3"/>
      <c r="C178" s="2"/>
      <c r="D178" s="2"/>
      <c r="E178" s="2"/>
      <c r="F178" s="2"/>
      <c r="G178" s="2"/>
    </row>
    <row r="179" spans="1:7">
      <c r="A179" s="2"/>
      <c r="B179" s="3"/>
      <c r="C179" s="2"/>
      <c r="D179" s="2"/>
      <c r="E179" s="2"/>
      <c r="F179" s="2"/>
      <c r="G179" s="2"/>
    </row>
    <row r="180" spans="1:7">
      <c r="A180" s="2"/>
      <c r="B180" s="3"/>
      <c r="C180" s="2"/>
      <c r="D180" s="2"/>
      <c r="E180" s="2"/>
      <c r="F180" s="2"/>
      <c r="G180" s="2"/>
    </row>
    <row r="181" spans="1:7">
      <c r="A181" s="2"/>
      <c r="B181" s="3"/>
      <c r="C181" s="2"/>
      <c r="D181" s="2"/>
      <c r="E181" s="2"/>
      <c r="F181" s="2"/>
      <c r="G181" s="2"/>
    </row>
    <row r="182" spans="1:7">
      <c r="A182" s="2"/>
      <c r="B182" s="3"/>
      <c r="C182" s="2"/>
      <c r="D182" s="2"/>
      <c r="E182" s="2"/>
      <c r="F182" s="2"/>
      <c r="G182" s="2"/>
    </row>
    <row r="183" spans="1:7">
      <c r="A183" s="2"/>
      <c r="B183" s="3"/>
      <c r="C183" s="2"/>
      <c r="D183" s="2"/>
      <c r="E183" s="2"/>
      <c r="F183" s="2"/>
      <c r="G183" s="2"/>
    </row>
    <row r="184" spans="1:7">
      <c r="A184" s="2"/>
      <c r="B184" s="3"/>
      <c r="C184" s="2"/>
      <c r="D184" s="2"/>
      <c r="E184" s="2"/>
      <c r="F184" s="2"/>
      <c r="G184" s="2"/>
    </row>
    <row r="185" spans="1:7">
      <c r="A185" s="2"/>
      <c r="B185" s="3"/>
      <c r="C185" s="2"/>
      <c r="D185" s="2"/>
      <c r="E185" s="2"/>
      <c r="F185" s="2"/>
      <c r="G185" s="2"/>
    </row>
    <row r="186" spans="1:7">
      <c r="A186" s="2"/>
      <c r="B186" s="3"/>
      <c r="C186" s="2"/>
      <c r="D186" s="2"/>
      <c r="E186" s="2"/>
      <c r="F186" s="2"/>
      <c r="G186" s="2"/>
    </row>
    <row r="187" spans="1:7">
      <c r="A187" s="2"/>
      <c r="B187" s="3"/>
      <c r="C187" s="2"/>
      <c r="D187" s="2"/>
      <c r="E187" s="2"/>
      <c r="F187" s="2"/>
      <c r="G187" s="2"/>
    </row>
    <row r="188" spans="1:7">
      <c r="A188" s="2"/>
      <c r="B188" s="3"/>
      <c r="C188" s="2"/>
      <c r="D188" s="2"/>
      <c r="E188" s="2"/>
      <c r="F188" s="2"/>
      <c r="G188" s="2"/>
    </row>
    <row r="189" spans="1:7">
      <c r="A189" s="2"/>
      <c r="B189" s="3"/>
      <c r="C189" s="2"/>
      <c r="D189" s="2"/>
      <c r="E189" s="2"/>
      <c r="F189" s="2"/>
      <c r="G189" s="2"/>
    </row>
    <row r="190" spans="1:7">
      <c r="A190" s="2"/>
      <c r="B190" s="3"/>
      <c r="C190" s="2"/>
      <c r="D190" s="2"/>
      <c r="E190" s="2"/>
      <c r="F190" s="2"/>
      <c r="G190" s="2"/>
    </row>
    <row r="191" spans="1:7">
      <c r="A191" s="2"/>
      <c r="B191" s="3"/>
      <c r="C191" s="2"/>
      <c r="D191" s="2"/>
      <c r="E191" s="2"/>
      <c r="F191" s="2"/>
      <c r="G191" s="2"/>
    </row>
    <row r="192" spans="1:7">
      <c r="A192" s="2"/>
      <c r="B192" s="3"/>
      <c r="C192" s="2"/>
      <c r="D192" s="2"/>
      <c r="E192" s="2"/>
      <c r="F192" s="2"/>
      <c r="G192" s="2"/>
    </row>
    <row r="193" spans="1:7">
      <c r="A193" s="2"/>
      <c r="B193" s="3"/>
      <c r="C193" s="2"/>
      <c r="D193" s="2"/>
      <c r="E193" s="2"/>
      <c r="F193" s="2"/>
      <c r="G193" s="2"/>
    </row>
    <row r="194" spans="1:7">
      <c r="A194" s="2"/>
      <c r="B194" s="3"/>
      <c r="C194" s="2"/>
      <c r="D194" s="2"/>
      <c r="E194" s="2"/>
      <c r="F194" s="2"/>
      <c r="G194" s="2"/>
    </row>
    <row r="195" spans="1:7">
      <c r="A195" s="2"/>
      <c r="B195" s="3"/>
      <c r="C195" s="2"/>
      <c r="D195" s="2"/>
      <c r="E195" s="2"/>
      <c r="F195" s="2"/>
      <c r="G195" s="2"/>
    </row>
    <row r="196" spans="1:7">
      <c r="A196" s="2"/>
      <c r="B196" s="3"/>
      <c r="C196" s="2"/>
      <c r="D196" s="2"/>
      <c r="E196" s="2"/>
      <c r="F196" s="2"/>
      <c r="G196" s="2"/>
    </row>
    <row r="197" spans="1:7">
      <c r="A197" s="2"/>
      <c r="B197" s="3"/>
      <c r="C197" s="2"/>
      <c r="D197" s="2"/>
      <c r="E197" s="2"/>
      <c r="F197" s="2"/>
      <c r="G197" s="2"/>
    </row>
    <row r="198" spans="1:7">
      <c r="A198" s="2"/>
      <c r="B198" s="3"/>
      <c r="C198" s="2"/>
      <c r="D198" s="2"/>
      <c r="E198" s="2"/>
      <c r="F198" s="2"/>
      <c r="G198" s="2"/>
    </row>
    <row r="199" spans="1:7">
      <c r="A199" s="2"/>
      <c r="B199" s="3"/>
      <c r="C199" s="2"/>
      <c r="D199" s="2"/>
      <c r="E199" s="2"/>
      <c r="F199" s="2"/>
      <c r="G199" s="2"/>
    </row>
    <row r="200" spans="1:7">
      <c r="A200" s="2"/>
      <c r="B200" s="3"/>
      <c r="C200" s="2"/>
      <c r="D200" s="2"/>
      <c r="E200" s="2"/>
      <c r="F200" s="2"/>
      <c r="G200" s="2"/>
    </row>
    <row r="201" spans="1:7">
      <c r="A201" s="2"/>
      <c r="B201" s="3"/>
      <c r="C201" s="2"/>
      <c r="D201" s="2"/>
      <c r="E201" s="2"/>
      <c r="F201" s="2"/>
      <c r="G201" s="2"/>
    </row>
    <row r="202" spans="1:7">
      <c r="A202" s="2"/>
      <c r="B202" s="3"/>
      <c r="C202" s="2"/>
      <c r="D202" s="2"/>
      <c r="E202" s="2"/>
      <c r="F202" s="2"/>
      <c r="G202" s="2"/>
    </row>
    <row r="203" spans="1:7">
      <c r="A203" s="2"/>
      <c r="B203" s="3"/>
      <c r="C203" s="2"/>
      <c r="D203" s="2"/>
      <c r="E203" s="2"/>
      <c r="F203" s="2"/>
      <c r="G203" s="2"/>
    </row>
    <row r="204" spans="1:7">
      <c r="A204" s="2"/>
      <c r="B204" s="3"/>
      <c r="C204" s="2"/>
      <c r="D204" s="2"/>
      <c r="E204" s="2"/>
      <c r="F204" s="2"/>
      <c r="G204" s="2"/>
    </row>
    <row r="205" spans="1:7">
      <c r="A205" s="2"/>
      <c r="B205" s="3"/>
      <c r="C205" s="2"/>
      <c r="D205" s="2"/>
      <c r="E205" s="2"/>
      <c r="F205" s="2"/>
      <c r="G205" s="2"/>
    </row>
    <row r="206" spans="1:7">
      <c r="A206" s="2"/>
      <c r="B206" s="3"/>
      <c r="C206" s="2"/>
      <c r="D206" s="2"/>
      <c r="E206" s="2"/>
      <c r="F206" s="2"/>
      <c r="G206" s="2"/>
    </row>
    <row r="207" spans="1:7">
      <c r="A207" s="2"/>
      <c r="B207" s="3"/>
      <c r="C207" s="2"/>
      <c r="D207" s="2"/>
      <c r="E207" s="2"/>
      <c r="F207" s="2"/>
      <c r="G207" s="2"/>
    </row>
    <row r="208" spans="1:7">
      <c r="A208" s="2"/>
      <c r="B208" s="3"/>
      <c r="C208" s="2"/>
      <c r="D208" s="2"/>
      <c r="E208" s="2"/>
      <c r="F208" s="2"/>
      <c r="G208" s="2"/>
    </row>
    <row r="209" spans="1:7">
      <c r="A209" s="2"/>
      <c r="B209" s="3"/>
      <c r="C209" s="2"/>
      <c r="D209" s="2"/>
      <c r="E209" s="2"/>
      <c r="F209" s="2"/>
      <c r="G209" s="2"/>
    </row>
    <row r="210" spans="1:7">
      <c r="A210" s="2"/>
      <c r="B210" s="3"/>
      <c r="C210" s="2"/>
      <c r="D210" s="2"/>
      <c r="E210" s="2"/>
      <c r="F210" s="2"/>
      <c r="G210" s="2"/>
    </row>
    <row r="211" spans="1:7">
      <c r="A211" s="2"/>
      <c r="B211" s="3"/>
      <c r="C211" s="2"/>
      <c r="D211" s="2"/>
      <c r="E211" s="2"/>
      <c r="F211" s="2"/>
      <c r="G211" s="2"/>
    </row>
    <row r="212" spans="1:7">
      <c r="A212" s="2"/>
      <c r="B212" s="3"/>
      <c r="C212" s="2"/>
      <c r="D212" s="2"/>
      <c r="E212" s="2"/>
      <c r="F212" s="2"/>
      <c r="G212" s="2"/>
    </row>
    <row r="213" spans="1:7">
      <c r="A213" s="2"/>
      <c r="B213" s="3"/>
      <c r="C213" s="2"/>
      <c r="D213" s="2"/>
      <c r="E213" s="2"/>
      <c r="F213" s="2"/>
      <c r="G213" s="2"/>
    </row>
    <row r="214" spans="1:7">
      <c r="A214" s="2"/>
      <c r="B214" s="3"/>
      <c r="C214" s="2"/>
      <c r="D214" s="2"/>
      <c r="E214" s="2"/>
      <c r="F214" s="2"/>
      <c r="G214" s="2"/>
    </row>
    <row r="215" spans="1:7">
      <c r="A215" s="2"/>
      <c r="B215" s="3"/>
      <c r="C215" s="2"/>
      <c r="D215" s="2"/>
      <c r="E215" s="2"/>
      <c r="F215" s="2"/>
      <c r="G215" s="2"/>
    </row>
    <row r="216" spans="1:7">
      <c r="A216" s="2"/>
      <c r="B216" s="3"/>
      <c r="C216" s="2"/>
      <c r="D216" s="2"/>
      <c r="E216" s="2"/>
      <c r="F216" s="2"/>
      <c r="G216" s="2"/>
    </row>
    <row r="217" spans="1:7">
      <c r="A217" s="2"/>
      <c r="B217" s="3"/>
      <c r="C217" s="2"/>
      <c r="D217" s="2"/>
      <c r="E217" s="2"/>
      <c r="F217" s="2"/>
      <c r="G217" s="2"/>
    </row>
    <row r="218" spans="1:7">
      <c r="A218" s="2"/>
      <c r="B218" s="3"/>
      <c r="C218" s="2"/>
      <c r="D218" s="2"/>
      <c r="E218" s="2"/>
      <c r="F218" s="2"/>
      <c r="G218" s="2"/>
    </row>
    <row r="219" spans="1:7">
      <c r="A219" s="2"/>
      <c r="B219" s="3"/>
      <c r="C219" s="2"/>
      <c r="D219" s="2"/>
      <c r="E219" s="2"/>
      <c r="F219" s="2"/>
      <c r="G219" s="2"/>
    </row>
    <row r="220" spans="1:7">
      <c r="A220" s="2"/>
      <c r="B220" s="3"/>
      <c r="C220" s="2"/>
      <c r="D220" s="2"/>
      <c r="E220" s="2"/>
      <c r="F220" s="2"/>
      <c r="G220" s="2"/>
    </row>
    <row r="221" spans="1:7">
      <c r="A221" s="2"/>
      <c r="B221" s="3"/>
      <c r="C221" s="2"/>
      <c r="D221" s="2"/>
      <c r="E221" s="2"/>
      <c r="F221" s="2"/>
      <c r="G221" s="2"/>
    </row>
    <row r="222" spans="1:7">
      <c r="A222" s="2"/>
      <c r="B222" s="3"/>
      <c r="C222" s="2"/>
      <c r="D222" s="2"/>
      <c r="E222" s="2"/>
      <c r="F222" s="2"/>
      <c r="G222" s="2"/>
    </row>
    <row r="223" spans="1:7">
      <c r="A223" s="2"/>
      <c r="B223" s="3"/>
      <c r="C223" s="2"/>
      <c r="D223" s="2"/>
      <c r="E223" s="2"/>
      <c r="F223" s="2"/>
      <c r="G223" s="2"/>
    </row>
    <row r="224" spans="1:7">
      <c r="A224" s="2"/>
      <c r="B224" s="3"/>
      <c r="C224" s="2"/>
      <c r="D224" s="2"/>
      <c r="E224" s="2"/>
      <c r="F224" s="2"/>
      <c r="G224" s="2"/>
    </row>
    <row r="225" spans="1:7">
      <c r="A225" s="2"/>
      <c r="B225" s="3"/>
      <c r="C225" s="2"/>
      <c r="D225" s="2"/>
      <c r="E225" s="2"/>
      <c r="F225" s="2"/>
      <c r="G225" s="2"/>
    </row>
    <row r="226" spans="1:7">
      <c r="A226" s="2"/>
      <c r="B226" s="3"/>
      <c r="C226" s="2"/>
      <c r="D226" s="2"/>
      <c r="E226" s="2"/>
      <c r="F226" s="2"/>
      <c r="G226" s="2"/>
    </row>
    <row r="227" spans="1:7">
      <c r="A227" s="2"/>
      <c r="B227" s="3"/>
      <c r="C227" s="2"/>
      <c r="D227" s="2"/>
      <c r="E227" s="2"/>
      <c r="F227" s="2"/>
      <c r="G227" s="2"/>
    </row>
    <row r="228" spans="1:7">
      <c r="A228" s="2"/>
      <c r="B228" s="3"/>
      <c r="C228" s="2"/>
      <c r="D228" s="2"/>
      <c r="E228" s="2"/>
      <c r="F228" s="2"/>
      <c r="G228" s="2"/>
    </row>
    <row r="229" spans="1:7">
      <c r="A229" s="2"/>
      <c r="B229" s="3"/>
      <c r="C229" s="2"/>
      <c r="D229" s="2"/>
      <c r="E229" s="2"/>
      <c r="F229" s="2"/>
      <c r="G229" s="2"/>
    </row>
    <row r="230" spans="1:7">
      <c r="A230" s="2"/>
      <c r="B230" s="3"/>
      <c r="C230" s="2"/>
      <c r="D230" s="2"/>
      <c r="E230" s="2"/>
      <c r="F230" s="2"/>
      <c r="G230" s="2"/>
    </row>
    <row r="231" spans="1:7">
      <c r="A231" s="2"/>
      <c r="B231" s="3"/>
      <c r="C231" s="2"/>
      <c r="D231" s="2"/>
      <c r="E231" s="2"/>
      <c r="F231" s="2"/>
      <c r="G231" s="2"/>
    </row>
    <row r="232" spans="1:7">
      <c r="A232" s="2"/>
      <c r="B232" s="3"/>
      <c r="C232" s="2"/>
      <c r="D232" s="2"/>
      <c r="E232" s="2"/>
      <c r="F232" s="2"/>
      <c r="G232" s="2"/>
    </row>
    <row r="233" spans="1:7">
      <c r="A233" s="2"/>
      <c r="B233" s="3"/>
      <c r="C233" s="2"/>
      <c r="D233" s="2"/>
      <c r="E233" s="2"/>
      <c r="F233" s="2"/>
      <c r="G233" s="2"/>
    </row>
    <row r="234" spans="1:7">
      <c r="A234" s="2"/>
      <c r="B234" s="3"/>
      <c r="C234" s="2"/>
      <c r="D234" s="2"/>
      <c r="E234" s="2"/>
      <c r="F234" s="2"/>
      <c r="G234" s="2"/>
    </row>
    <row r="235" spans="1:7">
      <c r="A235" s="2"/>
      <c r="B235" s="3"/>
      <c r="C235" s="2"/>
      <c r="D235" s="2"/>
      <c r="E235" s="2"/>
      <c r="F235" s="2"/>
      <c r="G235" s="2"/>
    </row>
    <row r="236" spans="1:7">
      <c r="A236" s="2"/>
      <c r="B236" s="3"/>
      <c r="C236" s="2"/>
      <c r="D236" s="2"/>
      <c r="E236" s="2"/>
      <c r="F236" s="2"/>
      <c r="G236" s="2"/>
    </row>
    <row r="237" spans="1:7">
      <c r="A237" s="2"/>
      <c r="B237" s="3"/>
      <c r="C237" s="2"/>
      <c r="D237" s="2"/>
      <c r="E237" s="2"/>
      <c r="F237" s="2"/>
      <c r="G237" s="2"/>
    </row>
    <row r="238" spans="1:7">
      <c r="A238" s="2"/>
      <c r="B238" s="3"/>
      <c r="C238" s="2"/>
      <c r="D238" s="2"/>
      <c r="E238" s="2"/>
      <c r="F238" s="2"/>
      <c r="G238" s="2"/>
    </row>
    <row r="239" spans="1:7">
      <c r="A239" s="2"/>
      <c r="B239" s="3"/>
      <c r="C239" s="2"/>
      <c r="D239" s="2"/>
      <c r="E239" s="2"/>
      <c r="F239" s="2"/>
      <c r="G239" s="2"/>
    </row>
    <row r="240" spans="1:7">
      <c r="A240" s="2"/>
      <c r="B240" s="3"/>
      <c r="C240" s="2"/>
      <c r="D240" s="2"/>
      <c r="E240" s="2"/>
      <c r="F240" s="2"/>
      <c r="G240" s="2"/>
    </row>
    <row r="241" spans="1:7">
      <c r="A241" s="2"/>
      <c r="B241" s="3"/>
      <c r="C241" s="2"/>
      <c r="D241" s="2"/>
      <c r="E241" s="2"/>
      <c r="F241" s="2"/>
      <c r="G241" s="2"/>
    </row>
    <row r="242" spans="1:7">
      <c r="A242" s="2"/>
      <c r="B242" s="3"/>
      <c r="C242" s="2"/>
      <c r="D242" s="2"/>
      <c r="E242" s="2"/>
      <c r="F242" s="2"/>
      <c r="G242" s="2"/>
    </row>
    <row r="243" spans="1:7">
      <c r="A243" s="2"/>
      <c r="B243" s="3"/>
      <c r="C243" s="2"/>
      <c r="D243" s="2"/>
      <c r="E243" s="2"/>
      <c r="F243" s="2"/>
      <c r="G243" s="2"/>
    </row>
    <row r="244" spans="1:7">
      <c r="A244" s="2"/>
      <c r="B244" s="3"/>
      <c r="C244" s="2"/>
      <c r="D244" s="2"/>
      <c r="E244" s="2"/>
      <c r="F244" s="2"/>
      <c r="G244" s="2"/>
    </row>
    <row r="245" spans="1:7">
      <c r="A245" s="2"/>
      <c r="B245" s="3"/>
      <c r="C245" s="2"/>
      <c r="D245" s="2"/>
      <c r="E245" s="2"/>
      <c r="F245" s="2"/>
      <c r="G245" s="2"/>
    </row>
    <row r="246" spans="1:7">
      <c r="A246" s="2"/>
      <c r="B246" s="3"/>
      <c r="C246" s="2"/>
      <c r="D246" s="2"/>
      <c r="E246" s="2"/>
      <c r="F246" s="2"/>
      <c r="G246" s="2"/>
    </row>
    <row r="247" spans="1:7">
      <c r="A247" s="2"/>
      <c r="B247" s="3"/>
      <c r="C247" s="2"/>
      <c r="D247" s="2"/>
      <c r="E247" s="2"/>
      <c r="F247" s="2"/>
      <c r="G247" s="2"/>
    </row>
    <row r="248" spans="1:7">
      <c r="A248" s="2"/>
      <c r="B248" s="3"/>
      <c r="C248" s="2"/>
      <c r="D248" s="2"/>
      <c r="E248" s="2"/>
      <c r="F248" s="2"/>
      <c r="G248" s="2"/>
    </row>
    <row r="249" spans="1:7">
      <c r="A249" s="2"/>
      <c r="B249" s="3"/>
      <c r="C249" s="2"/>
      <c r="D249" s="2"/>
      <c r="E249" s="2"/>
      <c r="F249" s="2"/>
      <c r="G249" s="2"/>
    </row>
    <row r="250" spans="1:7">
      <c r="A250" s="2"/>
      <c r="B250" s="3"/>
      <c r="C250" s="2"/>
      <c r="D250" s="2"/>
      <c r="E250" s="2"/>
      <c r="F250" s="2"/>
      <c r="G250" s="2"/>
    </row>
    <row r="251" spans="1:7">
      <c r="A251" s="2"/>
      <c r="B251" s="3"/>
      <c r="C251" s="2"/>
      <c r="D251" s="2"/>
      <c r="E251" s="2"/>
      <c r="F251" s="2"/>
      <c r="G251" s="2"/>
    </row>
    <row r="252" spans="1:7">
      <c r="A252" s="2"/>
      <c r="B252" s="3"/>
      <c r="C252" s="2"/>
      <c r="D252" s="2"/>
      <c r="E252" s="2"/>
      <c r="F252" s="2"/>
      <c r="G252" s="2"/>
    </row>
    <row r="253" spans="1:7">
      <c r="A253" s="2"/>
      <c r="B253" s="3"/>
      <c r="C253" s="2"/>
      <c r="D253" s="2"/>
      <c r="E253" s="2"/>
      <c r="F253" s="2"/>
      <c r="G253" s="2"/>
    </row>
    <row r="254" spans="1:7">
      <c r="A254" s="2"/>
      <c r="B254" s="3"/>
      <c r="C254" s="2"/>
      <c r="D254" s="2"/>
      <c r="E254" s="2"/>
      <c r="F254" s="2"/>
      <c r="G254" s="2"/>
    </row>
    <row r="255" spans="1:7">
      <c r="A255" s="2"/>
      <c r="B255" s="3"/>
      <c r="C255" s="2"/>
      <c r="D255" s="2"/>
      <c r="E255" s="2"/>
      <c r="F255" s="2"/>
      <c r="G255" s="2"/>
    </row>
    <row r="256" spans="1:7">
      <c r="A256" s="2"/>
      <c r="B256" s="3"/>
      <c r="C256" s="2"/>
      <c r="D256" s="2"/>
      <c r="E256" s="2"/>
      <c r="F256" s="2"/>
      <c r="G256" s="2"/>
    </row>
    <row r="257" spans="1:7">
      <c r="A257" s="2"/>
      <c r="B257" s="3"/>
      <c r="C257" s="2"/>
      <c r="D257" s="2"/>
      <c r="E257" s="2"/>
      <c r="F257" s="2"/>
      <c r="G257" s="2"/>
    </row>
    <row r="258" spans="1:7">
      <c r="A258" s="2"/>
      <c r="B258" s="3"/>
      <c r="C258" s="2"/>
      <c r="D258" s="2"/>
      <c r="E258" s="2"/>
      <c r="F258" s="2"/>
      <c r="G258" s="2"/>
    </row>
    <row r="259" spans="1:7">
      <c r="A259" s="2"/>
      <c r="B259" s="3"/>
      <c r="C259" s="2"/>
      <c r="D259" s="2"/>
      <c r="E259" s="2"/>
      <c r="F259" s="2"/>
      <c r="G259" s="2"/>
    </row>
    <row r="260" spans="1:7">
      <c r="A260" s="2"/>
      <c r="B260" s="3"/>
      <c r="C260" s="2"/>
      <c r="D260" s="2"/>
      <c r="E260" s="2"/>
      <c r="F260" s="2"/>
      <c r="G260" s="2"/>
    </row>
    <row r="261" spans="1:7">
      <c r="A261" s="2"/>
      <c r="B261" s="3"/>
      <c r="C261" s="2"/>
      <c r="D261" s="2"/>
      <c r="E261" s="2"/>
      <c r="F261" s="2"/>
      <c r="G261" s="2"/>
    </row>
    <row r="262" spans="1:7">
      <c r="A262" s="2"/>
      <c r="B262" s="3"/>
      <c r="C262" s="2"/>
      <c r="D262" s="2"/>
      <c r="E262" s="2"/>
      <c r="F262" s="2"/>
      <c r="G262" s="2"/>
    </row>
    <row r="263" spans="1:7">
      <c r="A263" s="2"/>
      <c r="B263" s="3"/>
      <c r="C263" s="2"/>
      <c r="D263" s="2"/>
      <c r="E263" s="2"/>
      <c r="F263" s="2"/>
      <c r="G263" s="2"/>
    </row>
    <row r="264" spans="1:7">
      <c r="A264" s="2"/>
      <c r="B264" s="3"/>
      <c r="C264" s="2"/>
      <c r="D264" s="2"/>
      <c r="E264" s="2"/>
      <c r="F264" s="2"/>
      <c r="G264" s="2"/>
    </row>
    <row r="265" spans="1:7">
      <c r="A265" s="2"/>
      <c r="B265" s="3"/>
      <c r="C265" s="2"/>
      <c r="D265" s="2"/>
      <c r="E265" s="2"/>
      <c r="F265" s="2"/>
      <c r="G265" s="2"/>
    </row>
    <row r="266" spans="1:7">
      <c r="A266" s="2"/>
      <c r="B266" s="3"/>
      <c r="C266" s="2"/>
      <c r="D266" s="2"/>
      <c r="E266" s="2"/>
      <c r="F266" s="2"/>
      <c r="G266" s="2"/>
    </row>
    <row r="267" spans="1:7">
      <c r="A267" s="2"/>
      <c r="B267" s="3"/>
      <c r="C267" s="2"/>
      <c r="D267" s="2"/>
      <c r="E267" s="2"/>
      <c r="F267" s="2"/>
      <c r="G267" s="2"/>
    </row>
    <row r="268" spans="1:7">
      <c r="A268" s="2"/>
      <c r="B268" s="3"/>
      <c r="C268" s="2"/>
      <c r="D268" s="2"/>
      <c r="E268" s="2"/>
      <c r="F268" s="2"/>
      <c r="G268" s="2"/>
    </row>
    <row r="269" spans="1:7">
      <c r="A269" s="2"/>
      <c r="B269" s="3"/>
      <c r="C269" s="2"/>
      <c r="D269" s="2"/>
      <c r="E269" s="2"/>
      <c r="F269" s="2"/>
      <c r="G269" s="2"/>
    </row>
    <row r="270" spans="1:7">
      <c r="A270" s="2"/>
      <c r="B270" s="3"/>
      <c r="C270" s="2"/>
      <c r="D270" s="2"/>
      <c r="E270" s="2"/>
      <c r="F270" s="2"/>
      <c r="G270" s="2"/>
    </row>
    <row r="271" spans="1:7">
      <c r="A271" s="2"/>
      <c r="B271" s="3"/>
      <c r="C271" s="2"/>
      <c r="D271" s="2"/>
      <c r="E271" s="2"/>
      <c r="F271" s="2"/>
      <c r="G271" s="2"/>
    </row>
    <row r="272" spans="1:7">
      <c r="A272" s="2"/>
      <c r="B272" s="3"/>
      <c r="C272" s="2"/>
      <c r="D272" s="2"/>
      <c r="E272" s="2"/>
      <c r="F272" s="2"/>
      <c r="G272" s="2"/>
    </row>
    <row r="273" spans="1:7">
      <c r="A273" s="2"/>
      <c r="B273" s="3"/>
      <c r="C273" s="2"/>
      <c r="D273" s="2"/>
      <c r="E273" s="2"/>
      <c r="F273" s="2"/>
      <c r="G273" s="2"/>
    </row>
    <row r="274" spans="1:7">
      <c r="A274" s="2"/>
      <c r="B274" s="3"/>
      <c r="C274" s="2"/>
      <c r="D274" s="2"/>
      <c r="E274" s="2"/>
      <c r="F274" s="2"/>
      <c r="G274" s="2"/>
    </row>
    <row r="275" spans="1:7">
      <c r="A275" s="2"/>
      <c r="B275" s="3"/>
      <c r="C275" s="2"/>
      <c r="D275" s="2"/>
      <c r="E275" s="2"/>
      <c r="F275" s="2"/>
      <c r="G275" s="2"/>
    </row>
    <row r="276" spans="1:7">
      <c r="A276" s="2"/>
      <c r="B276" s="3"/>
      <c r="C276" s="2"/>
      <c r="D276" s="2"/>
      <c r="E276" s="2"/>
      <c r="F276" s="2"/>
      <c r="G276" s="2"/>
    </row>
    <row r="277" spans="1:7">
      <c r="A277" s="2"/>
      <c r="B277" s="3"/>
      <c r="C277" s="2"/>
      <c r="D277" s="2"/>
      <c r="E277" s="2"/>
      <c r="F277" s="2"/>
      <c r="G277" s="2"/>
    </row>
    <row r="278" spans="1:7">
      <c r="A278" s="2"/>
      <c r="B278" s="3"/>
      <c r="C278" s="2"/>
      <c r="D278" s="2"/>
      <c r="E278" s="2"/>
      <c r="F278" s="2"/>
      <c r="G278" s="2"/>
    </row>
    <row r="279" spans="1:7">
      <c r="A279" s="2"/>
      <c r="B279" s="3"/>
      <c r="C279" s="2"/>
      <c r="D279" s="2"/>
      <c r="E279" s="2"/>
      <c r="F279" s="2"/>
      <c r="G279" s="2"/>
    </row>
    <row r="280" spans="1:7">
      <c r="A280" s="2"/>
      <c r="B280" s="3"/>
      <c r="C280" s="2"/>
      <c r="D280" s="2"/>
      <c r="E280" s="2"/>
      <c r="F280" s="2"/>
      <c r="G280" s="2"/>
    </row>
    <row r="281" spans="1:7">
      <c r="A281" s="2"/>
      <c r="B281" s="3"/>
      <c r="C281" s="2"/>
      <c r="D281" s="2"/>
      <c r="E281" s="2"/>
      <c r="F281" s="2"/>
      <c r="G281" s="2"/>
    </row>
    <row r="282" spans="1:7">
      <c r="A282" s="2"/>
      <c r="B282" s="3"/>
      <c r="C282" s="2"/>
      <c r="D282" s="2"/>
      <c r="E282" s="2"/>
      <c r="F282" s="2"/>
      <c r="G282" s="2"/>
    </row>
    <row r="283" spans="1:7">
      <c r="A283" s="2"/>
      <c r="B283" s="3"/>
      <c r="C283" s="2"/>
      <c r="D283" s="2"/>
      <c r="E283" s="2"/>
      <c r="F283" s="2"/>
      <c r="G283" s="2"/>
    </row>
    <row r="284" spans="1:7">
      <c r="A284" s="2"/>
      <c r="B284" s="3"/>
      <c r="C284" s="2"/>
      <c r="D284" s="2"/>
      <c r="E284" s="2"/>
      <c r="F284" s="2"/>
      <c r="G284" s="2"/>
    </row>
    <row r="285" spans="1:7">
      <c r="A285" s="2"/>
      <c r="B285" s="3"/>
      <c r="C285" s="2"/>
      <c r="D285" s="2"/>
      <c r="E285" s="2"/>
      <c r="F285" s="2"/>
      <c r="G285" s="2"/>
    </row>
    <row r="286" spans="1:7">
      <c r="A286" s="2"/>
      <c r="B286" s="3"/>
      <c r="C286" s="2"/>
      <c r="D286" s="2"/>
      <c r="E286" s="2"/>
      <c r="F286" s="2"/>
      <c r="G286" s="2"/>
    </row>
    <row r="287" spans="1:7">
      <c r="A287" s="2"/>
      <c r="B287" s="3"/>
      <c r="C287" s="2"/>
      <c r="D287" s="2"/>
      <c r="E287" s="2"/>
      <c r="F287" s="2"/>
      <c r="G287" s="2"/>
    </row>
    <row r="288" spans="1:7">
      <c r="A288" s="2"/>
      <c r="B288" s="3"/>
      <c r="C288" s="2"/>
      <c r="D288" s="2"/>
      <c r="E288" s="2"/>
      <c r="F288" s="2"/>
      <c r="G288" s="2"/>
    </row>
    <row r="289" spans="1:7">
      <c r="A289" s="2"/>
      <c r="B289" s="3"/>
      <c r="C289" s="2"/>
      <c r="D289" s="2"/>
      <c r="E289" s="2"/>
      <c r="F289" s="2"/>
      <c r="G289" s="2"/>
    </row>
    <row r="290" spans="1:7">
      <c r="A290" s="2"/>
      <c r="B290" s="3"/>
      <c r="C290" s="2"/>
      <c r="D290" s="2"/>
      <c r="E290" s="2"/>
      <c r="F290" s="2"/>
      <c r="G290" s="2"/>
    </row>
    <row r="291" spans="1:7">
      <c r="A291" s="2"/>
      <c r="B291" s="3"/>
      <c r="C291" s="2"/>
      <c r="D291" s="2"/>
      <c r="E291" s="2"/>
      <c r="F291" s="2"/>
      <c r="G291" s="2"/>
    </row>
    <row r="292" spans="1:7">
      <c r="A292" s="2"/>
      <c r="B292" s="3"/>
      <c r="C292" s="2"/>
      <c r="D292" s="2"/>
      <c r="E292" s="2"/>
      <c r="F292" s="2"/>
      <c r="G292" s="2"/>
    </row>
    <row r="293" spans="1:7">
      <c r="A293" s="2"/>
      <c r="B293" s="3"/>
      <c r="C293" s="2"/>
      <c r="D293" s="2"/>
      <c r="E293" s="2"/>
      <c r="F293" s="2"/>
      <c r="G293" s="2"/>
    </row>
    <row r="294" spans="1:7">
      <c r="A294" s="2"/>
      <c r="B294" s="3"/>
      <c r="C294" s="2"/>
      <c r="D294" s="2"/>
      <c r="E294" s="2"/>
      <c r="F294" s="2"/>
      <c r="G294" s="2"/>
    </row>
    <row r="295" spans="1:7">
      <c r="A295" s="2"/>
      <c r="B295" s="3"/>
      <c r="C295" s="2"/>
      <c r="D295" s="2"/>
      <c r="E295" s="2"/>
      <c r="F295" s="2"/>
      <c r="G295" s="2"/>
    </row>
    <row r="296" spans="1:7">
      <c r="A296" s="2"/>
      <c r="B296" s="3"/>
      <c r="C296" s="2"/>
      <c r="D296" s="2"/>
      <c r="E296" s="2"/>
      <c r="F296" s="2"/>
      <c r="G296" s="2"/>
    </row>
    <row r="297" spans="1:7">
      <c r="A297" s="2"/>
      <c r="B297" s="3"/>
      <c r="C297" s="2"/>
      <c r="D297" s="2"/>
      <c r="E297" s="2"/>
      <c r="F297" s="2"/>
      <c r="G297" s="2"/>
    </row>
    <row r="298" spans="1:7">
      <c r="A298" s="2"/>
      <c r="B298" s="3"/>
      <c r="C298" s="2"/>
      <c r="D298" s="2"/>
      <c r="E298" s="2"/>
      <c r="F298" s="2"/>
      <c r="G298" s="2"/>
    </row>
    <row r="299" spans="1:7">
      <c r="A299" s="2"/>
      <c r="B299" s="3"/>
      <c r="C299" s="2"/>
      <c r="D299" s="2"/>
      <c r="E299" s="2"/>
      <c r="F299" s="2"/>
      <c r="G299" s="2"/>
    </row>
    <row r="300" spans="1:7">
      <c r="A300" s="2"/>
      <c r="B300" s="2"/>
      <c r="C300" s="2"/>
      <c r="D300" s="2"/>
      <c r="E300" s="2"/>
      <c r="F300" s="2"/>
      <c r="G300" s="2"/>
    </row>
    <row r="301" spans="1:7">
      <c r="A301" s="2"/>
      <c r="B301" s="2"/>
      <c r="C301" s="2"/>
      <c r="D301" s="2"/>
      <c r="E301" s="2"/>
      <c r="F301" s="2"/>
      <c r="G301" s="2"/>
    </row>
    <row r="302" spans="1:7">
      <c r="A302" s="2"/>
      <c r="B302" s="2"/>
      <c r="C302" s="2"/>
      <c r="D302" s="2"/>
      <c r="E302" s="2"/>
      <c r="F302" s="2"/>
      <c r="G302" s="2"/>
    </row>
    <row r="303" spans="1:7">
      <c r="A303" s="2"/>
      <c r="B303" s="2"/>
      <c r="C303" s="2"/>
      <c r="D303" s="2"/>
      <c r="E303" s="2"/>
      <c r="F303" s="2"/>
      <c r="G303" s="2"/>
    </row>
    <row r="304" spans="1:7">
      <c r="A304" s="2"/>
      <c r="B304" s="2"/>
      <c r="C304" s="2"/>
      <c r="D304" s="2"/>
      <c r="E304" s="2"/>
      <c r="F304" s="2"/>
      <c r="G304" s="2"/>
    </row>
    <row r="305" spans="1:7">
      <c r="A305" s="2"/>
      <c r="B305" s="2"/>
      <c r="C305" s="2"/>
      <c r="D305" s="2"/>
      <c r="E305" s="2"/>
      <c r="F305" s="2"/>
      <c r="G305" s="2"/>
    </row>
    <row r="306" spans="1:7">
      <c r="A306" s="2"/>
      <c r="B306" s="2"/>
      <c r="C306" s="2"/>
      <c r="D306" s="2"/>
      <c r="E306" s="2"/>
      <c r="F306" s="2"/>
      <c r="G306" s="2"/>
    </row>
    <row r="307" spans="1:7">
      <c r="A307" s="2"/>
      <c r="B307" s="2"/>
      <c r="C307" s="2"/>
      <c r="D307" s="2"/>
      <c r="E307" s="2"/>
      <c r="F307" s="2"/>
      <c r="G307" s="2"/>
    </row>
    <row r="308" spans="1:7">
      <c r="A308" s="2"/>
      <c r="B308" s="2"/>
      <c r="C308" s="2"/>
      <c r="D308" s="2"/>
      <c r="E308" s="2"/>
      <c r="F308" s="2"/>
      <c r="G308" s="2"/>
    </row>
    <row r="309" spans="1:7">
      <c r="A309" s="2"/>
      <c r="B309" s="2"/>
      <c r="C309" s="2"/>
      <c r="D309" s="2"/>
      <c r="E309" s="2"/>
      <c r="F309" s="2"/>
      <c r="G309" s="2"/>
    </row>
    <row r="310" spans="1:7">
      <c r="A310" s="2"/>
      <c r="B310" s="2"/>
      <c r="C310" s="2"/>
      <c r="D310" s="2"/>
      <c r="E310" s="2"/>
      <c r="F310" s="2"/>
      <c r="G310" s="2"/>
    </row>
    <row r="311" spans="1:7">
      <c r="A311" s="2"/>
      <c r="B311" s="2"/>
      <c r="C311" s="2"/>
      <c r="D311" s="2"/>
      <c r="E311" s="2"/>
      <c r="F311" s="2"/>
      <c r="G311" s="2"/>
    </row>
    <row r="312" spans="1:7">
      <c r="A312" s="2"/>
      <c r="B312" s="2"/>
      <c r="C312" s="2"/>
      <c r="D312" s="2"/>
      <c r="E312" s="2"/>
      <c r="F312" s="2"/>
      <c r="G312" s="2"/>
    </row>
    <row r="313" spans="1:7">
      <c r="A313" s="2"/>
      <c r="B313" s="2"/>
      <c r="C313" s="2"/>
      <c r="D313" s="2"/>
      <c r="E313" s="2"/>
      <c r="F313" s="2"/>
      <c r="G313" s="2"/>
    </row>
    <row r="314" spans="1:7">
      <c r="A314" s="2"/>
      <c r="B314" s="2"/>
      <c r="C314" s="2"/>
      <c r="D314" s="2"/>
      <c r="E314" s="2"/>
      <c r="F314" s="2"/>
      <c r="G314" s="2"/>
    </row>
    <row r="315" spans="1:7">
      <c r="A315" s="2"/>
      <c r="B315" s="2"/>
      <c r="C315" s="2"/>
      <c r="D315" s="2"/>
      <c r="E315" s="2"/>
      <c r="F315" s="2"/>
      <c r="G315" s="2"/>
    </row>
    <row r="316" spans="1:7">
      <c r="A316" s="2"/>
      <c r="B316" s="2"/>
      <c r="C316" s="2"/>
      <c r="D316" s="2"/>
      <c r="E316" s="2"/>
      <c r="F316" s="2"/>
      <c r="G316" s="2"/>
    </row>
    <row r="317" spans="1:7">
      <c r="A317" s="2"/>
      <c r="B317" s="2"/>
      <c r="C317" s="2"/>
      <c r="D317" s="2"/>
      <c r="E317" s="2"/>
      <c r="F317" s="2"/>
      <c r="G317" s="2"/>
    </row>
    <row r="318" spans="1:7">
      <c r="A318" s="2"/>
      <c r="B318" s="2"/>
      <c r="C318" s="2"/>
      <c r="D318" s="2"/>
      <c r="E318" s="2"/>
      <c r="F318" s="2"/>
      <c r="G318" s="2"/>
    </row>
    <row r="319" spans="1:7">
      <c r="A319" s="2"/>
      <c r="B319" s="2"/>
      <c r="C319" s="2"/>
      <c r="D319" s="2"/>
      <c r="E319" s="2"/>
      <c r="F319" s="2"/>
      <c r="G319" s="2"/>
    </row>
    <row r="320" spans="1:7">
      <c r="A320" s="2"/>
      <c r="B320" s="2"/>
      <c r="C320" s="2"/>
      <c r="D320" s="2"/>
      <c r="E320" s="2"/>
      <c r="F320" s="2"/>
      <c r="G320" s="2"/>
    </row>
    <row r="321" spans="1:7">
      <c r="A321" s="2"/>
      <c r="B321" s="2"/>
      <c r="C321" s="2"/>
      <c r="D321" s="2"/>
      <c r="E321" s="2"/>
      <c r="F321" s="2"/>
      <c r="G321" s="2"/>
    </row>
    <row r="322" spans="1:7">
      <c r="A322" s="2"/>
      <c r="B322" s="2"/>
      <c r="C322" s="2"/>
      <c r="D322" s="2"/>
      <c r="E322" s="2"/>
      <c r="F322" s="2"/>
      <c r="G322" s="2"/>
    </row>
    <row r="323" spans="1:7">
      <c r="A323" s="2"/>
      <c r="B323" s="2"/>
      <c r="C323" s="2"/>
      <c r="D323" s="2"/>
      <c r="E323" s="2"/>
      <c r="F323" s="2"/>
      <c r="G323" s="2"/>
    </row>
    <row r="324" spans="1:7">
      <c r="A324" s="2"/>
      <c r="B324" s="2"/>
      <c r="C324" s="2"/>
      <c r="D324" s="2"/>
      <c r="E324" s="2"/>
      <c r="F324" s="2"/>
      <c r="G324" s="2"/>
    </row>
    <row r="325" spans="1:7">
      <c r="A325" s="2"/>
      <c r="B325" s="2"/>
      <c r="C325" s="2"/>
      <c r="D325" s="2"/>
      <c r="E325" s="2"/>
      <c r="F325" s="2"/>
      <c r="G325" s="2"/>
    </row>
    <row r="326" spans="1:7">
      <c r="A326" s="2"/>
      <c r="B326" s="2"/>
      <c r="C326" s="2"/>
      <c r="D326" s="2"/>
      <c r="E326" s="2"/>
      <c r="F326" s="2"/>
      <c r="G326" s="2"/>
    </row>
    <row r="327" spans="1:7">
      <c r="A327" s="2"/>
      <c r="B327" s="2"/>
      <c r="C327" s="2"/>
      <c r="D327" s="2"/>
      <c r="E327" s="2"/>
      <c r="F327" s="2"/>
      <c r="G327" s="2"/>
    </row>
    <row r="328" spans="1:7">
      <c r="A328" s="2"/>
      <c r="B328" s="2"/>
      <c r="C328" s="2"/>
      <c r="D328" s="2"/>
      <c r="E328" s="2"/>
      <c r="F328" s="2"/>
      <c r="G328" s="2"/>
    </row>
    <row r="329" spans="1:7">
      <c r="A329" s="2"/>
      <c r="B329" s="2"/>
      <c r="C329" s="2"/>
      <c r="D329" s="2"/>
      <c r="E329" s="2"/>
      <c r="F329" s="2"/>
      <c r="G329" s="2"/>
    </row>
    <row r="330" spans="1:7">
      <c r="A330" s="2"/>
      <c r="B330" s="2"/>
      <c r="C330" s="2"/>
      <c r="D330" s="2"/>
      <c r="E330" s="2"/>
      <c r="F330" s="2"/>
      <c r="G330" s="2"/>
    </row>
    <row r="331" spans="1:7">
      <c r="A331" s="2"/>
      <c r="B331" s="2"/>
      <c r="C331" s="2"/>
      <c r="D331" s="2"/>
      <c r="E331" s="2"/>
      <c r="F331" s="2"/>
      <c r="G331" s="2"/>
    </row>
    <row r="332" spans="1:7">
      <c r="A332" s="2"/>
      <c r="B332" s="2"/>
      <c r="C332" s="2"/>
      <c r="D332" s="2"/>
      <c r="E332" s="2"/>
      <c r="F332" s="2"/>
      <c r="G332" s="2"/>
    </row>
    <row r="333" spans="1:7">
      <c r="A333" s="2"/>
      <c r="B333" s="2"/>
      <c r="C333" s="2"/>
      <c r="D333" s="2"/>
      <c r="E333" s="2"/>
      <c r="F333" s="2"/>
      <c r="G333" s="2"/>
    </row>
    <row r="334" spans="1:7">
      <c r="A334" s="2"/>
      <c r="B334" s="2"/>
      <c r="C334" s="2"/>
      <c r="D334" s="2"/>
      <c r="E334" s="2"/>
      <c r="F334" s="2"/>
      <c r="G334" s="2"/>
    </row>
    <row r="335" spans="1:7">
      <c r="A335" s="2"/>
      <c r="B335" s="2"/>
      <c r="C335" s="2"/>
      <c r="D335" s="2"/>
      <c r="E335" s="2"/>
      <c r="F335" s="2"/>
      <c r="G335" s="2"/>
    </row>
    <row r="336" spans="1:7">
      <c r="A336" s="2"/>
      <c r="B336" s="2"/>
      <c r="C336" s="2"/>
      <c r="D336" s="2"/>
      <c r="E336" s="2"/>
      <c r="F336" s="2"/>
      <c r="G336" s="2"/>
    </row>
    <row r="337" spans="1:7">
      <c r="A337" s="2"/>
      <c r="B337" s="2"/>
      <c r="C337" s="2"/>
      <c r="D337" s="2"/>
      <c r="E337" s="2"/>
      <c r="F337" s="2"/>
      <c r="G337" s="2"/>
    </row>
    <row r="338" spans="1:7">
      <c r="A338" s="2"/>
      <c r="B338" s="2"/>
      <c r="C338" s="2"/>
      <c r="D338" s="2"/>
      <c r="E338" s="2"/>
      <c r="F338" s="2"/>
      <c r="G338" s="2"/>
    </row>
    <row r="339" spans="1:7">
      <c r="A339" s="2"/>
      <c r="B339" s="2"/>
      <c r="C339" s="2"/>
      <c r="D339" s="2"/>
      <c r="E339" s="2"/>
      <c r="F339" s="2"/>
      <c r="G339" s="2"/>
    </row>
    <row r="340" spans="1:7">
      <c r="A340" s="2"/>
      <c r="B340" s="2"/>
      <c r="C340" s="2"/>
      <c r="D340" s="2"/>
      <c r="E340" s="2"/>
      <c r="F340" s="2"/>
      <c r="G340" s="2"/>
    </row>
    <row r="341" spans="1:7">
      <c r="A341" s="2"/>
      <c r="B341" s="2"/>
      <c r="C341" s="2"/>
      <c r="D341" s="2"/>
      <c r="E341" s="2"/>
      <c r="F341" s="2"/>
      <c r="G341" s="2"/>
    </row>
    <row r="342" spans="1:7">
      <c r="A342" s="2"/>
      <c r="B342" s="2"/>
      <c r="C342" s="2"/>
      <c r="D342" s="2"/>
      <c r="E342" s="2"/>
      <c r="F342" s="2"/>
      <c r="G342" s="2"/>
    </row>
    <row r="343" spans="1:7">
      <c r="A343" s="2"/>
      <c r="B343" s="2"/>
      <c r="C343" s="2"/>
      <c r="D343" s="2"/>
      <c r="E343" s="2"/>
      <c r="F343" s="2"/>
      <c r="G343" s="2"/>
    </row>
    <row r="344" spans="1:7">
      <c r="A344" s="2"/>
      <c r="B344" s="2"/>
      <c r="C344" s="2"/>
      <c r="D344" s="2"/>
      <c r="E344" s="2"/>
      <c r="F344" s="2"/>
      <c r="G344" s="2"/>
    </row>
    <row r="345" spans="1:7">
      <c r="A345" s="2"/>
      <c r="B345" s="2"/>
      <c r="C345" s="2"/>
      <c r="D345" s="2"/>
      <c r="E345" s="2"/>
      <c r="F345" s="2"/>
      <c r="G345" s="2"/>
    </row>
    <row r="346" spans="1:7">
      <c r="A346" s="2"/>
      <c r="B346" s="2"/>
      <c r="C346" s="2"/>
      <c r="D346" s="2"/>
      <c r="E346" s="2"/>
      <c r="F346" s="2"/>
      <c r="G346" s="2"/>
    </row>
    <row r="347" spans="1:7">
      <c r="A347" s="2"/>
      <c r="B347" s="2"/>
      <c r="C347" s="2"/>
      <c r="D347" s="2"/>
      <c r="E347" s="2"/>
      <c r="F347" s="2"/>
      <c r="G347" s="2"/>
    </row>
    <row r="348" spans="1:7">
      <c r="A348" s="2"/>
      <c r="B348" s="2"/>
      <c r="C348" s="2"/>
      <c r="D348" s="2"/>
      <c r="E348" s="2"/>
      <c r="F348" s="2"/>
      <c r="G348" s="2"/>
    </row>
    <row r="349" spans="1:7">
      <c r="A349" s="2"/>
      <c r="B349" s="2"/>
      <c r="C349" s="2"/>
      <c r="D349" s="2"/>
      <c r="E349" s="2"/>
      <c r="F349" s="2"/>
      <c r="G349" s="2"/>
    </row>
    <row r="350" spans="1:7">
      <c r="A350" s="2"/>
      <c r="B350" s="2"/>
      <c r="C350" s="2"/>
      <c r="D350" s="2"/>
      <c r="E350" s="2"/>
      <c r="F350" s="2"/>
      <c r="G350" s="2"/>
    </row>
    <row r="351" spans="1:7">
      <c r="A351" s="2"/>
      <c r="B351" s="2"/>
      <c r="C351" s="2"/>
      <c r="D351" s="2"/>
      <c r="E351" s="2"/>
      <c r="F351" s="2"/>
      <c r="G351" s="2"/>
    </row>
    <row r="352" spans="1:7">
      <c r="A352" s="2"/>
      <c r="B352" s="2"/>
      <c r="C352" s="2"/>
      <c r="D352" s="2"/>
      <c r="E352" s="2"/>
      <c r="F352" s="2"/>
      <c r="G352" s="2"/>
    </row>
    <row r="353" spans="1:7">
      <c r="A353" s="2"/>
      <c r="B353" s="2"/>
      <c r="C353" s="2"/>
      <c r="D353" s="2"/>
      <c r="E353" s="2"/>
      <c r="F353" s="2"/>
      <c r="G353" s="2"/>
    </row>
    <row r="354" spans="1:7">
      <c r="A354" s="2"/>
      <c r="B354" s="2"/>
      <c r="C354" s="2"/>
      <c r="D354" s="2"/>
      <c r="E354" s="2"/>
      <c r="F354" s="2"/>
      <c r="G354" s="2"/>
    </row>
    <row r="355" spans="1:7">
      <c r="A355" s="2"/>
      <c r="B355" s="2"/>
      <c r="C355" s="2"/>
      <c r="D355" s="2"/>
      <c r="E355" s="2"/>
      <c r="F355" s="2"/>
      <c r="G355" s="2"/>
    </row>
    <row r="356" spans="1:7">
      <c r="A356" s="2"/>
      <c r="B356" s="2"/>
      <c r="C356" s="2"/>
      <c r="D356" s="2"/>
      <c r="E356" s="2"/>
      <c r="F356" s="2"/>
      <c r="G356" s="2"/>
    </row>
    <row r="357" spans="1:7">
      <c r="A357" s="2"/>
      <c r="B357" s="2"/>
      <c r="C357" s="2"/>
      <c r="D357" s="2"/>
      <c r="E357" s="2"/>
      <c r="F357" s="2"/>
      <c r="G357" s="2"/>
    </row>
    <row r="358" spans="1:7">
      <c r="A358" s="2"/>
      <c r="B358" s="2"/>
      <c r="C358" s="2"/>
      <c r="D358" s="2"/>
      <c r="E358" s="2"/>
      <c r="F358" s="2"/>
      <c r="G358" s="2"/>
    </row>
    <row r="359" spans="1:7">
      <c r="A359" s="2"/>
      <c r="B359" s="2"/>
      <c r="C359" s="2"/>
      <c r="D359" s="2"/>
      <c r="E359" s="2"/>
      <c r="F359" s="2"/>
      <c r="G359" s="2"/>
    </row>
    <row r="360" spans="1:7">
      <c r="A360" s="2"/>
      <c r="B360" s="2"/>
      <c r="C360" s="2"/>
      <c r="D360" s="2"/>
      <c r="E360" s="2"/>
      <c r="F360" s="2"/>
      <c r="G360" s="2"/>
    </row>
    <row r="361" spans="1:7">
      <c r="A361" s="2"/>
      <c r="B361" s="2"/>
      <c r="C361" s="2"/>
      <c r="D361" s="2"/>
      <c r="E361" s="2"/>
      <c r="F361" s="2"/>
      <c r="G361" s="2"/>
    </row>
    <row r="362" spans="1:7">
      <c r="A362" s="2"/>
      <c r="B362" s="2"/>
      <c r="C362" s="2"/>
      <c r="D362" s="2"/>
      <c r="E362" s="2"/>
      <c r="F362" s="2"/>
      <c r="G362" s="2"/>
    </row>
    <row r="363" spans="1:7">
      <c r="A363" s="2"/>
      <c r="B363" s="2"/>
      <c r="C363" s="2"/>
      <c r="D363" s="2"/>
      <c r="E363" s="2"/>
      <c r="F363" s="2"/>
      <c r="G363" s="2"/>
    </row>
    <row r="364" spans="1:7">
      <c r="A364" s="2"/>
      <c r="B364" s="2"/>
      <c r="C364" s="2"/>
      <c r="D364" s="2"/>
      <c r="E364" s="2"/>
      <c r="F364" s="2"/>
      <c r="G364" s="2"/>
    </row>
    <row r="365" spans="1:7">
      <c r="A365" s="2"/>
      <c r="B365" s="2"/>
      <c r="C365" s="2"/>
      <c r="D365" s="2"/>
      <c r="E365" s="2"/>
      <c r="F365" s="2"/>
      <c r="G365" s="2"/>
    </row>
    <row r="366" spans="1:7">
      <c r="A366" s="2"/>
      <c r="B366" s="2"/>
      <c r="C366" s="2"/>
      <c r="D366" s="2"/>
      <c r="E366" s="2"/>
      <c r="F366" s="2"/>
      <c r="G366" s="2"/>
    </row>
    <row r="367" spans="1:7">
      <c r="A367" s="2"/>
      <c r="B367" s="2"/>
      <c r="C367" s="2"/>
      <c r="D367" s="2"/>
      <c r="E367" s="2"/>
      <c r="F367" s="2"/>
      <c r="G367" s="2"/>
    </row>
    <row r="368" spans="1:7">
      <c r="A368" s="2"/>
      <c r="B368" s="2"/>
      <c r="C368" s="2"/>
      <c r="D368" s="2"/>
      <c r="E368" s="2"/>
      <c r="F368" s="2"/>
      <c r="G368" s="2"/>
    </row>
    <row r="369" spans="1:7">
      <c r="A369" s="2"/>
      <c r="B369" s="2"/>
      <c r="C369" s="2"/>
      <c r="D369" s="2"/>
      <c r="E369" s="2"/>
      <c r="F369" s="2"/>
      <c r="G369" s="2"/>
    </row>
    <row r="370" spans="1:7">
      <c r="A370" s="2"/>
      <c r="B370" s="2"/>
      <c r="C370" s="2"/>
      <c r="D370" s="2"/>
      <c r="E370" s="2"/>
      <c r="F370" s="2"/>
      <c r="G370" s="2"/>
    </row>
    <row r="371" spans="1:7">
      <c r="A371" s="2"/>
      <c r="B371" s="2"/>
      <c r="C371" s="2"/>
      <c r="D371" s="2"/>
      <c r="E371" s="2"/>
      <c r="F371" s="2"/>
      <c r="G371" s="2"/>
    </row>
    <row r="372" spans="1:7">
      <c r="A372" s="2"/>
      <c r="B372" s="2"/>
      <c r="C372" s="2"/>
      <c r="D372" s="2"/>
      <c r="E372" s="2"/>
      <c r="F372" s="2"/>
      <c r="G372" s="2"/>
    </row>
    <row r="373" spans="1:7">
      <c r="A373" s="2"/>
      <c r="B373" s="2"/>
      <c r="C373" s="2"/>
      <c r="D373" s="2"/>
      <c r="E373" s="2"/>
      <c r="F373" s="2"/>
      <c r="G373" s="2"/>
    </row>
    <row r="374" spans="1:7">
      <c r="A374" s="2"/>
      <c r="B374" s="2"/>
      <c r="C374" s="2"/>
      <c r="D374" s="2"/>
      <c r="E374" s="2"/>
      <c r="F374" s="2"/>
      <c r="G374" s="2"/>
    </row>
    <row r="375" spans="1:7">
      <c r="A375" s="2"/>
      <c r="B375" s="2"/>
      <c r="C375" s="2"/>
      <c r="D375" s="2"/>
      <c r="E375" s="2"/>
      <c r="F375" s="2"/>
      <c r="G375" s="2"/>
    </row>
    <row r="376" spans="1:7">
      <c r="A376" s="2"/>
      <c r="B376" s="2"/>
      <c r="C376" s="2"/>
      <c r="D376" s="2"/>
      <c r="E376" s="2"/>
      <c r="F376" s="2"/>
      <c r="G376" s="2"/>
    </row>
    <row r="377" spans="1:7">
      <c r="A377" s="2"/>
      <c r="B377" s="2"/>
      <c r="C377" s="2"/>
      <c r="D377" s="2"/>
      <c r="E377" s="2"/>
      <c r="F377" s="2"/>
      <c r="G377" s="2"/>
    </row>
    <row r="378" spans="1:7">
      <c r="A378" s="2"/>
      <c r="B378" s="2"/>
      <c r="C378" s="2"/>
      <c r="D378" s="2"/>
      <c r="E378" s="2"/>
      <c r="F378" s="2"/>
      <c r="G378" s="2"/>
    </row>
    <row r="379" spans="1:7">
      <c r="A379" s="2"/>
      <c r="B379" s="2"/>
      <c r="C379" s="2"/>
      <c r="D379" s="2"/>
      <c r="E379" s="2"/>
      <c r="F379" s="2"/>
      <c r="G379" s="2"/>
    </row>
    <row r="380" spans="1:7">
      <c r="A380" s="2"/>
      <c r="B380" s="2"/>
      <c r="C380" s="2"/>
      <c r="D380" s="2"/>
      <c r="E380" s="2"/>
      <c r="F380" s="2"/>
      <c r="G380" s="2"/>
    </row>
    <row r="381" spans="1:7">
      <c r="A381" s="2"/>
      <c r="B381" s="2"/>
      <c r="C381" s="2"/>
      <c r="D381" s="2"/>
      <c r="E381" s="2"/>
      <c r="F381" s="2"/>
      <c r="G381" s="2"/>
    </row>
    <row r="382" spans="1:7">
      <c r="A382" s="2"/>
      <c r="B382" s="2"/>
      <c r="C382" s="2"/>
      <c r="D382" s="2"/>
      <c r="E382" s="2"/>
      <c r="F382" s="2"/>
      <c r="G382" s="2"/>
    </row>
    <row r="383" spans="1:7">
      <c r="A383" s="2"/>
      <c r="B383" s="2"/>
      <c r="C383" s="2"/>
      <c r="D383" s="2"/>
      <c r="E383" s="2"/>
      <c r="F383" s="2"/>
      <c r="G383" s="2"/>
    </row>
    <row r="384" spans="1:7">
      <c r="A384" s="2"/>
      <c r="B384" s="2"/>
      <c r="C384" s="2"/>
      <c r="D384" s="2"/>
      <c r="E384" s="2"/>
      <c r="F384" s="2"/>
      <c r="G384" s="2"/>
    </row>
    <row r="385" spans="1:7">
      <c r="A385" s="2"/>
      <c r="B385" s="2"/>
      <c r="C385" s="2"/>
      <c r="D385" s="2"/>
      <c r="E385" s="2"/>
      <c r="F385" s="2"/>
      <c r="G385" s="2"/>
    </row>
    <row r="386" spans="1:7">
      <c r="A386" s="2"/>
      <c r="B386" s="2"/>
      <c r="C386" s="2"/>
      <c r="D386" s="2"/>
      <c r="E386" s="2"/>
      <c r="F386" s="2"/>
      <c r="G386" s="2"/>
    </row>
    <row r="387" spans="1:7">
      <c r="A387" s="2"/>
      <c r="B387" s="2"/>
      <c r="C387" s="2"/>
      <c r="D387" s="2"/>
      <c r="E387" s="2"/>
      <c r="F387" s="2"/>
      <c r="G387" s="2"/>
    </row>
    <row r="388" spans="1:7">
      <c r="A388" s="2"/>
      <c r="B388" s="2"/>
      <c r="C388" s="2"/>
      <c r="D388" s="2"/>
      <c r="E388" s="2"/>
      <c r="F388" s="2"/>
      <c r="G388" s="2"/>
    </row>
    <row r="389" spans="1:7">
      <c r="A389" s="2"/>
      <c r="B389" s="2"/>
      <c r="C389" s="2"/>
      <c r="D389" s="2"/>
      <c r="E389" s="2"/>
      <c r="F389" s="2"/>
      <c r="G389" s="2"/>
    </row>
    <row r="390" spans="1:7">
      <c r="A390" s="2"/>
      <c r="B390" s="2"/>
      <c r="C390" s="2"/>
      <c r="D390" s="2"/>
      <c r="E390" s="2"/>
      <c r="F390" s="2"/>
      <c r="G390" s="2"/>
    </row>
    <row r="391" spans="1:7">
      <c r="A391" s="2"/>
      <c r="B391" s="2"/>
      <c r="C391" s="2"/>
      <c r="D391" s="2"/>
      <c r="E391" s="2"/>
      <c r="F391" s="2"/>
      <c r="G391" s="2"/>
    </row>
    <row r="392" spans="1:7">
      <c r="A392" s="2"/>
      <c r="B392" s="2"/>
      <c r="C392" s="2"/>
      <c r="D392" s="2"/>
      <c r="E392" s="2"/>
      <c r="F392" s="2"/>
      <c r="G392" s="2"/>
    </row>
    <row r="393" spans="1:7">
      <c r="A393" s="2"/>
      <c r="B393" s="2"/>
      <c r="C393" s="2"/>
      <c r="D393" s="2"/>
      <c r="E393" s="2"/>
      <c r="F393" s="2"/>
      <c r="G393" s="2"/>
    </row>
    <row r="394" spans="1:7">
      <c r="A394" s="2"/>
      <c r="B394" s="2"/>
      <c r="C394" s="2"/>
      <c r="D394" s="2"/>
      <c r="E394" s="2"/>
      <c r="F394" s="2"/>
      <c r="G394" s="2"/>
    </row>
    <row r="395" spans="1:7">
      <c r="A395" s="2"/>
      <c r="B395" s="2"/>
      <c r="C395" s="2"/>
      <c r="D395" s="2"/>
      <c r="E395" s="2"/>
      <c r="F395" s="2"/>
      <c r="G395" s="2"/>
    </row>
    <row r="396" spans="1:7">
      <c r="A396" s="2"/>
      <c r="B396" s="2"/>
      <c r="C396" s="2"/>
      <c r="D396" s="2"/>
      <c r="E396" s="2"/>
      <c r="F396" s="2"/>
      <c r="G396" s="2"/>
    </row>
    <row r="397" spans="1:7">
      <c r="A397" s="2"/>
      <c r="B397" s="2"/>
      <c r="C397" s="2"/>
      <c r="D397" s="2"/>
      <c r="E397" s="2"/>
      <c r="F397" s="2"/>
      <c r="G397" s="2"/>
    </row>
    <row r="398" spans="1:7">
      <c r="A398" s="2"/>
      <c r="B398" s="2"/>
      <c r="C398" s="2"/>
      <c r="D398" s="2"/>
      <c r="E398" s="2"/>
      <c r="F398" s="2"/>
      <c r="G398" s="2"/>
    </row>
    <row r="399" spans="1:7">
      <c r="A399" s="2"/>
      <c r="B399" s="2"/>
      <c r="C399" s="2"/>
      <c r="D399" s="2"/>
      <c r="E399" s="2"/>
      <c r="F399" s="2"/>
      <c r="G399" s="2"/>
    </row>
    <row r="400" spans="1:7">
      <c r="A400" s="2"/>
      <c r="B400" s="2"/>
      <c r="C400" s="2"/>
      <c r="D400" s="2"/>
      <c r="E400" s="2"/>
      <c r="F400" s="2"/>
      <c r="G400" s="2"/>
    </row>
    <row r="401" spans="1:7">
      <c r="A401" s="2"/>
      <c r="B401" s="2"/>
      <c r="C401" s="2"/>
      <c r="D401" s="2"/>
      <c r="E401" s="2"/>
      <c r="F401" s="2"/>
      <c r="G401" s="2"/>
    </row>
    <row r="402" spans="1:7">
      <c r="A402" s="2"/>
      <c r="B402" s="2"/>
      <c r="C402" s="2"/>
      <c r="D402" s="2"/>
      <c r="E402" s="2"/>
      <c r="F402" s="2"/>
      <c r="G402" s="2"/>
    </row>
    <row r="403" spans="1:7">
      <c r="A403" s="2"/>
      <c r="B403" s="2"/>
      <c r="C403" s="2"/>
      <c r="D403" s="2"/>
      <c r="E403" s="2"/>
      <c r="F403" s="2"/>
      <c r="G403" s="2"/>
    </row>
    <row r="404" spans="1:7">
      <c r="A404" s="2"/>
      <c r="B404" s="2"/>
      <c r="C404" s="2"/>
      <c r="D404" s="2"/>
      <c r="E404" s="2"/>
      <c r="F404" s="2"/>
      <c r="G404" s="2"/>
    </row>
    <row r="405" spans="1:7">
      <c r="A405" s="2"/>
      <c r="B405" s="2"/>
      <c r="C405" s="2"/>
      <c r="D405" s="2"/>
      <c r="E405" s="2"/>
      <c r="F405" s="2"/>
      <c r="G405" s="2"/>
    </row>
    <row r="406" spans="1:7">
      <c r="A406" s="2"/>
      <c r="B406" s="2"/>
      <c r="C406" s="2"/>
      <c r="D406" s="2"/>
      <c r="E406" s="2"/>
      <c r="F406" s="2"/>
      <c r="G406" s="2"/>
    </row>
    <row r="407" spans="1:7">
      <c r="A407" s="2"/>
      <c r="B407" s="2"/>
      <c r="C407" s="2"/>
      <c r="D407" s="2"/>
      <c r="E407" s="2"/>
      <c r="F407" s="2"/>
      <c r="G407" s="2"/>
    </row>
    <row r="408" spans="1:7">
      <c r="A408" s="2"/>
      <c r="B408" s="2"/>
      <c r="C408" s="2"/>
      <c r="D408" s="2"/>
      <c r="E408" s="2"/>
      <c r="F408" s="2"/>
      <c r="G408" s="2"/>
    </row>
    <row r="409" spans="1:7">
      <c r="A409" s="2"/>
      <c r="B409" s="2"/>
      <c r="C409" s="2"/>
      <c r="D409" s="2"/>
      <c r="E409" s="2"/>
      <c r="F409" s="2"/>
      <c r="G409" s="2"/>
    </row>
    <row r="410" spans="1:7">
      <c r="A410" s="2"/>
      <c r="B410" s="2"/>
      <c r="C410" s="2"/>
      <c r="D410" s="2"/>
      <c r="E410" s="2"/>
      <c r="F410" s="2"/>
      <c r="G410" s="2"/>
    </row>
    <row r="411" spans="1:7">
      <c r="A411" s="2"/>
      <c r="B411" s="2"/>
      <c r="C411" s="2"/>
      <c r="D411" s="2"/>
      <c r="E411" s="2"/>
      <c r="F411" s="2"/>
      <c r="G411" s="2"/>
    </row>
    <row r="412" spans="1:7">
      <c r="A412" s="2"/>
      <c r="B412" s="2"/>
      <c r="C412" s="2"/>
      <c r="D412" s="2"/>
      <c r="E412" s="2"/>
      <c r="F412" s="2"/>
      <c r="G412" s="2"/>
    </row>
    <row r="413" spans="1:7">
      <c r="A413" s="2"/>
      <c r="B413" s="2"/>
      <c r="C413" s="2"/>
      <c r="D413" s="2"/>
      <c r="E413" s="2"/>
      <c r="F413" s="2"/>
      <c r="G413" s="2"/>
    </row>
    <row r="414" spans="1:7">
      <c r="A414" s="2"/>
      <c r="B414" s="2"/>
      <c r="C414" s="2"/>
      <c r="D414" s="2"/>
      <c r="E414" s="2"/>
      <c r="F414" s="2"/>
      <c r="G414" s="2"/>
    </row>
    <row r="415" spans="1:7">
      <c r="A415" s="2"/>
      <c r="B415" s="2"/>
      <c r="C415" s="2"/>
      <c r="D415" s="2"/>
      <c r="E415" s="2"/>
      <c r="F415" s="2"/>
      <c r="G415" s="2"/>
    </row>
    <row r="416" spans="1:7">
      <c r="A416" s="2"/>
      <c r="B416" s="2"/>
      <c r="C416" s="2"/>
      <c r="D416" s="2"/>
      <c r="E416" s="2"/>
      <c r="F416" s="2"/>
      <c r="G416" s="2"/>
    </row>
    <row r="417" spans="1:7">
      <c r="A417" s="2"/>
      <c r="B417" s="2"/>
      <c r="C417" s="2"/>
      <c r="D417" s="2"/>
      <c r="E417" s="2"/>
      <c r="F417" s="2"/>
      <c r="G417" s="2"/>
    </row>
    <row r="418" spans="1:7">
      <c r="A418" s="2"/>
      <c r="B418" s="2"/>
      <c r="C418" s="2"/>
      <c r="D418" s="2"/>
      <c r="E418" s="2"/>
      <c r="F418" s="2"/>
      <c r="G418" s="2"/>
    </row>
    <row r="419" spans="1:7">
      <c r="A419" s="2"/>
      <c r="B419" s="2"/>
      <c r="C419" s="2"/>
      <c r="D419" s="2"/>
      <c r="E419" s="2"/>
      <c r="F419" s="2"/>
      <c r="G419" s="2"/>
    </row>
    <row r="420" spans="1:7">
      <c r="A420" s="2"/>
      <c r="B420" s="2"/>
      <c r="C420" s="2"/>
      <c r="D420" s="2"/>
      <c r="E420" s="2"/>
      <c r="F420" s="2"/>
      <c r="G420" s="2"/>
    </row>
    <row r="421" spans="1:7">
      <c r="A421" s="2"/>
      <c r="B421" s="2"/>
      <c r="C421" s="2"/>
      <c r="D421" s="2"/>
      <c r="E421" s="2"/>
      <c r="F421" s="2"/>
      <c r="G421" s="2"/>
    </row>
    <row r="422" spans="1:7">
      <c r="A422" s="2"/>
      <c r="B422" s="2"/>
      <c r="C422" s="2"/>
      <c r="D422" s="2"/>
      <c r="E422" s="2"/>
      <c r="F422" s="2"/>
      <c r="G422" s="2"/>
    </row>
    <row r="423" spans="1:7">
      <c r="A423" s="2"/>
      <c r="B423" s="2"/>
      <c r="C423" s="2"/>
      <c r="D423" s="2"/>
      <c r="E423" s="2"/>
      <c r="F423" s="2"/>
      <c r="G423" s="2"/>
    </row>
    <row r="424" spans="1:7">
      <c r="A424" s="2"/>
      <c r="B424" s="2"/>
      <c r="C424" s="2"/>
      <c r="D424" s="2"/>
      <c r="E424" s="2"/>
      <c r="F424" s="2"/>
      <c r="G424" s="2"/>
    </row>
    <row r="425" spans="1:7">
      <c r="A425" s="2"/>
      <c r="B425" s="2"/>
      <c r="C425" s="2"/>
      <c r="D425" s="2"/>
      <c r="E425" s="2"/>
      <c r="F425" s="2"/>
      <c r="G425" s="2"/>
    </row>
    <row r="426" spans="1:7">
      <c r="A426" s="2"/>
      <c r="B426" s="2"/>
      <c r="C426" s="2"/>
      <c r="D426" s="2"/>
      <c r="E426" s="2"/>
      <c r="F426" s="2"/>
      <c r="G426" s="2"/>
    </row>
    <row r="427" spans="1:7">
      <c r="A427" s="2"/>
      <c r="B427" s="2"/>
      <c r="C427" s="2"/>
      <c r="D427" s="2"/>
      <c r="E427" s="2"/>
      <c r="F427" s="2"/>
      <c r="G427" s="2"/>
    </row>
    <row r="428" spans="1:7">
      <c r="A428" s="2"/>
      <c r="B428" s="2"/>
      <c r="C428" s="2"/>
      <c r="D428" s="2"/>
      <c r="E428" s="2"/>
      <c r="F428" s="2"/>
      <c r="G428" s="2"/>
    </row>
    <row r="429" spans="1:7">
      <c r="A429" s="2"/>
      <c r="B429" s="2"/>
      <c r="C429" s="2"/>
      <c r="D429" s="2"/>
      <c r="E429" s="2"/>
      <c r="F429" s="2"/>
      <c r="G429" s="2"/>
    </row>
    <row r="430" spans="1:7">
      <c r="A430" s="2"/>
      <c r="B430" s="2"/>
      <c r="C430" s="2"/>
      <c r="D430" s="2"/>
      <c r="E430" s="2"/>
      <c r="F430" s="2"/>
      <c r="G430" s="2"/>
    </row>
    <row r="431" spans="1:7">
      <c r="A431" s="2"/>
      <c r="B431" s="2"/>
      <c r="C431" s="2"/>
      <c r="D431" s="2"/>
      <c r="E431" s="2"/>
      <c r="F431" s="2"/>
      <c r="G431" s="2"/>
    </row>
    <row r="432" spans="1:7">
      <c r="A432" s="2"/>
      <c r="B432" s="2"/>
      <c r="C432" s="2"/>
      <c r="D432" s="2"/>
      <c r="E432" s="2"/>
      <c r="F432" s="2"/>
      <c r="G432" s="2"/>
    </row>
    <row r="433" spans="1:7">
      <c r="A433" s="2"/>
      <c r="B433" s="2"/>
      <c r="C433" s="2"/>
      <c r="D433" s="2"/>
      <c r="E433" s="2"/>
      <c r="F433" s="2"/>
      <c r="G433" s="2"/>
    </row>
    <row r="434" spans="1:7">
      <c r="A434" s="2"/>
      <c r="B434" s="2"/>
      <c r="C434" s="2"/>
      <c r="D434" s="2"/>
      <c r="E434" s="2"/>
      <c r="F434" s="2"/>
      <c r="G434" s="2"/>
    </row>
  </sheetData>
  <mergeCells count="5">
    <mergeCell ref="A1:G1"/>
    <mergeCell ref="A3:G3"/>
    <mergeCell ref="A19:G19"/>
    <mergeCell ref="A43:B43"/>
    <mergeCell ref="A44:B44"/>
  </mergeCells>
  <pageMargins left="0.11811023622047245" right="0" top="0.19685039370078741" bottom="0.19685039370078741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435"/>
  <sheetViews>
    <sheetView tabSelected="1" zoomScale="60" zoomScaleNormal="60" workbookViewId="0">
      <selection activeCell="K37" sqref="K37"/>
    </sheetView>
  </sheetViews>
  <sheetFormatPr defaultRowHeight="15"/>
  <cols>
    <col min="1" max="1" width="7.28515625" style="16" customWidth="1"/>
    <col min="2" max="2" width="42.5703125" style="16" customWidth="1"/>
    <col min="3" max="3" width="15.7109375" style="16" customWidth="1"/>
    <col min="4" max="4" width="14.42578125" style="16" customWidth="1"/>
    <col min="5" max="5" width="16.7109375" style="16" customWidth="1"/>
    <col min="6" max="6" width="17" style="16" customWidth="1"/>
    <col min="7" max="7" width="16.140625" style="16" customWidth="1"/>
    <col min="8" max="10" width="9.140625" style="16"/>
    <col min="11" max="11" width="28.7109375" style="16" customWidth="1"/>
    <col min="12" max="12" width="13.42578125" style="16" customWidth="1"/>
    <col min="13" max="14" width="9.140625" style="16"/>
    <col min="15" max="15" width="9.85546875" style="16" bestFit="1" customWidth="1"/>
    <col min="16" max="16384" width="9.140625" style="16"/>
  </cols>
  <sheetData>
    <row r="1" spans="1:12" ht="52.5" customHeight="1">
      <c r="A1" s="84" t="s">
        <v>144</v>
      </c>
      <c r="B1" s="84"/>
      <c r="C1" s="84"/>
      <c r="D1" s="84"/>
      <c r="E1" s="84"/>
      <c r="F1" s="84"/>
      <c r="G1" s="84"/>
    </row>
    <row r="2" spans="1:12" ht="15.75">
      <c r="A2" s="4" t="s">
        <v>0</v>
      </c>
      <c r="B2" s="4" t="s">
        <v>49</v>
      </c>
      <c r="C2" s="4" t="s">
        <v>1</v>
      </c>
      <c r="D2" s="34" t="s">
        <v>2</v>
      </c>
      <c r="E2" s="34" t="s">
        <v>3</v>
      </c>
      <c r="F2" s="34" t="s">
        <v>4</v>
      </c>
      <c r="G2" s="34" t="s">
        <v>14</v>
      </c>
    </row>
    <row r="3" spans="1:12">
      <c r="A3" s="77" t="s">
        <v>48</v>
      </c>
      <c r="B3" s="78"/>
      <c r="C3" s="78"/>
      <c r="D3" s="78"/>
      <c r="E3" s="78"/>
      <c r="F3" s="78"/>
      <c r="G3" s="78"/>
      <c r="K3" s="32"/>
      <c r="L3" s="32"/>
    </row>
    <row r="4" spans="1:12" ht="18.75">
      <c r="A4" s="4" t="s">
        <v>87</v>
      </c>
      <c r="B4" s="5" t="s">
        <v>22</v>
      </c>
      <c r="C4" s="4" t="s">
        <v>16</v>
      </c>
      <c r="D4" s="13">
        <v>382</v>
      </c>
      <c r="E4" s="13">
        <v>438.2</v>
      </c>
      <c r="F4" s="13">
        <v>360.3</v>
      </c>
      <c r="G4" s="55">
        <f>SUM(D4:F4)</f>
        <v>1180.5</v>
      </c>
      <c r="K4" s="32"/>
    </row>
    <row r="5" spans="1:12">
      <c r="A5" s="4" t="s">
        <v>36</v>
      </c>
      <c r="B5" s="5" t="s">
        <v>17</v>
      </c>
      <c r="C5" s="4" t="s">
        <v>19</v>
      </c>
      <c r="D5" s="13">
        <v>96840</v>
      </c>
      <c r="E5" s="13">
        <v>110952</v>
      </c>
      <c r="F5" s="13">
        <v>89054</v>
      </c>
      <c r="G5" s="13">
        <f>SUM(D5:F5)</f>
        <v>296846</v>
      </c>
    </row>
    <row r="6" spans="1:12" ht="18.75" customHeight="1">
      <c r="A6" s="4" t="s">
        <v>37</v>
      </c>
      <c r="B6" s="5" t="s">
        <v>18</v>
      </c>
      <c r="C6" s="4" t="s">
        <v>20</v>
      </c>
      <c r="D6" s="13">
        <f>D4/D5*1000</f>
        <v>3.9446509706732753</v>
      </c>
      <c r="E6" s="13">
        <f t="shared" ref="E6:F6" si="0">E4/E5*1000</f>
        <v>3.9494556204484819</v>
      </c>
      <c r="F6" s="13">
        <f t="shared" si="0"/>
        <v>4.0458598153929071</v>
      </c>
      <c r="G6" s="13">
        <f>G4/G5*1000</f>
        <v>3.9768095241303567</v>
      </c>
    </row>
    <row r="7" spans="1:12" ht="18.75">
      <c r="A7" s="4" t="s">
        <v>88</v>
      </c>
      <c r="B7" s="5" t="s">
        <v>21</v>
      </c>
      <c r="C7" s="4" t="s">
        <v>16</v>
      </c>
      <c r="D7" s="13">
        <v>73.900000000000006</v>
      </c>
      <c r="E7" s="13">
        <v>93.8</v>
      </c>
      <c r="F7" s="13">
        <v>73.7</v>
      </c>
      <c r="G7" s="55">
        <f>SUM(D7:F7)</f>
        <v>241.39999999999998</v>
      </c>
      <c r="K7" s="32"/>
    </row>
    <row r="8" spans="1:12">
      <c r="A8" s="4" t="s">
        <v>89</v>
      </c>
      <c r="B8" s="5" t="s">
        <v>17</v>
      </c>
      <c r="C8" s="4" t="s">
        <v>19</v>
      </c>
      <c r="D8" s="13">
        <v>25</v>
      </c>
      <c r="E8" s="13">
        <v>32</v>
      </c>
      <c r="F8" s="13">
        <v>25</v>
      </c>
      <c r="G8" s="13">
        <f>SUM(D8:F8)</f>
        <v>82</v>
      </c>
    </row>
    <row r="9" spans="1:12" ht="17.25" customHeight="1">
      <c r="A9" s="4" t="s">
        <v>90</v>
      </c>
      <c r="B9" s="5" t="s">
        <v>18</v>
      </c>
      <c r="C9" s="4" t="s">
        <v>20</v>
      </c>
      <c r="D9" s="13">
        <f>D7/D8*1000</f>
        <v>2956.0000000000005</v>
      </c>
      <c r="E9" s="13">
        <f t="shared" ref="E9:G9" si="1">E7/E8*1000</f>
        <v>2931.25</v>
      </c>
      <c r="F9" s="13">
        <f t="shared" si="1"/>
        <v>2948</v>
      </c>
      <c r="G9" s="13">
        <f t="shared" si="1"/>
        <v>2943.9024390243899</v>
      </c>
    </row>
    <row r="10" spans="1:12" s="14" customFormat="1" ht="18.75">
      <c r="A10" s="12" t="s">
        <v>91</v>
      </c>
      <c r="B10" s="22" t="s">
        <v>23</v>
      </c>
      <c r="C10" s="12" t="s">
        <v>16</v>
      </c>
      <c r="D10" s="13">
        <v>886.9</v>
      </c>
      <c r="E10" s="13">
        <v>921.72</v>
      </c>
      <c r="F10" s="13">
        <v>889.25</v>
      </c>
      <c r="G10" s="55">
        <f>SUM(D10:F10)</f>
        <v>2697.87</v>
      </c>
      <c r="K10" s="37"/>
    </row>
    <row r="11" spans="1:12">
      <c r="A11" s="4" t="s">
        <v>38</v>
      </c>
      <c r="B11" s="5" t="s">
        <v>85</v>
      </c>
      <c r="C11" s="4" t="s">
        <v>30</v>
      </c>
      <c r="D11" s="13">
        <f>D10/D12*1000</f>
        <v>19708.888888888891</v>
      </c>
      <c r="E11" s="13">
        <f t="shared" ref="E11:F11" si="2">E10/E12*1000</f>
        <v>20482.666666666668</v>
      </c>
      <c r="F11" s="13">
        <f t="shared" si="2"/>
        <v>19761.111111111113</v>
      </c>
      <c r="G11" s="13">
        <f>SUM(D11:F11)/12</f>
        <v>4996.0555555555557</v>
      </c>
    </row>
    <row r="12" spans="1:12">
      <c r="A12" s="4" t="s">
        <v>39</v>
      </c>
      <c r="B12" s="5" t="s">
        <v>86</v>
      </c>
      <c r="C12" s="4" t="s">
        <v>31</v>
      </c>
      <c r="D12" s="13">
        <v>45</v>
      </c>
      <c r="E12" s="13">
        <v>45</v>
      </c>
      <c r="F12" s="13">
        <v>45</v>
      </c>
      <c r="G12" s="13">
        <f t="shared" ref="G12:G17" si="3">SUM(D12:F12)</f>
        <v>135</v>
      </c>
    </row>
    <row r="13" spans="1:12" ht="18.75">
      <c r="A13" s="4" t="s">
        <v>92</v>
      </c>
      <c r="B13" s="5" t="s">
        <v>24</v>
      </c>
      <c r="C13" s="4" t="s">
        <v>16</v>
      </c>
      <c r="D13" s="13">
        <f>D10*30%</f>
        <v>266.07</v>
      </c>
      <c r="E13" s="13">
        <f>E10*30%</f>
        <v>276.51600000000002</v>
      </c>
      <c r="F13" s="13">
        <f>F10*30%</f>
        <v>266.77499999999998</v>
      </c>
      <c r="G13" s="55">
        <f t="shared" si="3"/>
        <v>809.36099999999999</v>
      </c>
      <c r="K13" s="32"/>
    </row>
    <row r="14" spans="1:12" ht="18.75">
      <c r="A14" s="4" t="s">
        <v>93</v>
      </c>
      <c r="B14" s="5" t="s">
        <v>25</v>
      </c>
      <c r="C14" s="4" t="s">
        <v>16</v>
      </c>
      <c r="D14" s="13">
        <v>0</v>
      </c>
      <c r="E14" s="13">
        <v>0</v>
      </c>
      <c r="F14" s="13">
        <v>0</v>
      </c>
      <c r="G14" s="55">
        <f t="shared" si="3"/>
        <v>0</v>
      </c>
    </row>
    <row r="15" spans="1:12">
      <c r="A15" s="4" t="s">
        <v>94</v>
      </c>
      <c r="B15" s="5" t="s">
        <v>35</v>
      </c>
      <c r="C15" s="4" t="s">
        <v>16</v>
      </c>
      <c r="D15" s="13"/>
      <c r="E15" s="13"/>
      <c r="F15" s="13"/>
      <c r="G15" s="13">
        <f t="shared" si="3"/>
        <v>0</v>
      </c>
    </row>
    <row r="16" spans="1:12" ht="30">
      <c r="A16" s="4" t="s">
        <v>95</v>
      </c>
      <c r="B16" s="5" t="s">
        <v>83</v>
      </c>
      <c r="C16" s="4" t="s">
        <v>16</v>
      </c>
      <c r="D16" s="13">
        <v>585.28</v>
      </c>
      <c r="E16" s="13">
        <v>314.67</v>
      </c>
      <c r="F16" s="13">
        <v>93.27</v>
      </c>
      <c r="G16" s="55">
        <f t="shared" si="3"/>
        <v>993.22</v>
      </c>
      <c r="K16" s="32"/>
    </row>
    <row r="17" spans="1:15" ht="21" customHeight="1">
      <c r="A17" s="4" t="s">
        <v>111</v>
      </c>
      <c r="B17" s="5" t="s">
        <v>129</v>
      </c>
      <c r="C17" s="4" t="s">
        <v>16</v>
      </c>
      <c r="D17" s="13">
        <f>D16*70%</f>
        <v>409.69599999999997</v>
      </c>
      <c r="E17" s="13">
        <f t="shared" ref="E17:F17" si="4">E16*70%</f>
        <v>220.26900000000001</v>
      </c>
      <c r="F17" s="13">
        <f t="shared" si="4"/>
        <v>65.288999999999987</v>
      </c>
      <c r="G17" s="13">
        <f t="shared" si="3"/>
        <v>695.25399999999991</v>
      </c>
    </row>
    <row r="18" spans="1:15" ht="18.75" customHeight="1">
      <c r="A18" s="4" t="s">
        <v>96</v>
      </c>
      <c r="B18" s="5" t="s">
        <v>14</v>
      </c>
      <c r="C18" s="4" t="s">
        <v>16</v>
      </c>
      <c r="D18" s="13">
        <f>D4+D7+D10+D13+D15+D16</f>
        <v>2194.1499999999996</v>
      </c>
      <c r="E18" s="13">
        <f>E4+E7+E10+E13+E15+E16</f>
        <v>2044.9060000000002</v>
      </c>
      <c r="F18" s="13">
        <f t="shared" ref="F18" si="5">F4+F7+F10+F13+F14+F15+F17+F16</f>
        <v>1748.5840000000001</v>
      </c>
      <c r="G18" s="55">
        <f>G4+G7+G10+G13+G14+G16</f>
        <v>5922.3510000000006</v>
      </c>
      <c r="K18" s="32"/>
      <c r="L18" s="32"/>
      <c r="O18" s="32"/>
    </row>
    <row r="19" spans="1:15" ht="15" customHeight="1">
      <c r="A19" s="4" t="s">
        <v>94</v>
      </c>
      <c r="B19" s="5" t="s">
        <v>35</v>
      </c>
      <c r="C19" s="4" t="s">
        <v>16</v>
      </c>
      <c r="D19" s="13">
        <v>0</v>
      </c>
      <c r="E19" s="13">
        <v>0</v>
      </c>
      <c r="F19" s="13">
        <v>0</v>
      </c>
      <c r="G19" s="13">
        <f>SUM(D19:F19)</f>
        <v>0</v>
      </c>
    </row>
    <row r="20" spans="1:15" ht="27.75" customHeight="1">
      <c r="A20" s="77" t="s">
        <v>50</v>
      </c>
      <c r="B20" s="78"/>
      <c r="C20" s="78"/>
      <c r="D20" s="78"/>
      <c r="E20" s="78"/>
      <c r="F20" s="78"/>
      <c r="G20" s="78"/>
    </row>
    <row r="21" spans="1:15" ht="30" customHeight="1">
      <c r="A21" s="4" t="s">
        <v>97</v>
      </c>
      <c r="B21" s="5" t="s">
        <v>139</v>
      </c>
      <c r="C21" s="29" t="s">
        <v>16</v>
      </c>
      <c r="D21" s="10">
        <f>SUM(D22:D31)</f>
        <v>485.15254237288138</v>
      </c>
      <c r="E21" s="10">
        <f>SUM(E22:E31)</f>
        <v>514.07627118644064</v>
      </c>
      <c r="F21" s="10">
        <f>SUM(F22:F31)</f>
        <v>493.98305084745766</v>
      </c>
      <c r="G21" s="10">
        <f>SUM(G22:G31)</f>
        <v>1493.2118644067798</v>
      </c>
    </row>
    <row r="22" spans="1:15" ht="15.75">
      <c r="A22" s="4" t="s">
        <v>81</v>
      </c>
      <c r="B22" s="5" t="s">
        <v>53</v>
      </c>
      <c r="C22" s="34" t="s">
        <v>16</v>
      </c>
      <c r="D22" s="6">
        <f>0.31/1.18</f>
        <v>0.26271186440677968</v>
      </c>
      <c r="E22" s="6">
        <f>0.4/1.18</f>
        <v>0.33898305084745767</v>
      </c>
      <c r="F22" s="6">
        <f>0.23/1.18</f>
        <v>0.19491525423728814</v>
      </c>
      <c r="G22" s="6">
        <f t="shared" ref="G22:G42" si="6">SUM(D22:F22)</f>
        <v>0.79661016949152552</v>
      </c>
    </row>
    <row r="23" spans="1:15" ht="15.75">
      <c r="A23" s="4" t="s">
        <v>98</v>
      </c>
      <c r="B23" s="5" t="s">
        <v>55</v>
      </c>
      <c r="C23" s="34" t="s">
        <v>16</v>
      </c>
      <c r="D23" s="6">
        <f>7.14/1.18</f>
        <v>6.0508474576271185</v>
      </c>
      <c r="E23" s="6">
        <f>12.69/1.18</f>
        <v>10.754237288135593</v>
      </c>
      <c r="F23" s="6">
        <f>11.59/1.18</f>
        <v>9.8220338983050848</v>
      </c>
      <c r="G23" s="6">
        <f t="shared" si="6"/>
        <v>26.627118644067799</v>
      </c>
    </row>
    <row r="24" spans="1:15" ht="15.75">
      <c r="A24" s="4" t="s">
        <v>99</v>
      </c>
      <c r="B24" s="5" t="s">
        <v>57</v>
      </c>
      <c r="C24" s="34" t="s">
        <v>16</v>
      </c>
      <c r="D24" s="6">
        <f>18.23/1.18</f>
        <v>15.449152542372882</v>
      </c>
      <c r="E24" s="6">
        <f>21.59/1.18</f>
        <v>18.296610169491526</v>
      </c>
      <c r="F24" s="6">
        <f>17.5/1.18</f>
        <v>14.830508474576272</v>
      </c>
      <c r="G24" s="6">
        <f t="shared" si="6"/>
        <v>48.576271186440678</v>
      </c>
    </row>
    <row r="25" spans="1:15" ht="15.75">
      <c r="A25" s="4" t="s">
        <v>100</v>
      </c>
      <c r="B25" s="5" t="s">
        <v>59</v>
      </c>
      <c r="C25" s="34" t="s">
        <v>16</v>
      </c>
      <c r="D25" s="6">
        <v>0</v>
      </c>
      <c r="E25" s="6">
        <v>0</v>
      </c>
      <c r="F25" s="6">
        <v>0</v>
      </c>
      <c r="G25" s="6">
        <f t="shared" si="6"/>
        <v>0</v>
      </c>
    </row>
    <row r="26" spans="1:15" ht="15.75">
      <c r="A26" s="4" t="s">
        <v>101</v>
      </c>
      <c r="B26" s="5" t="s">
        <v>61</v>
      </c>
      <c r="C26" s="34" t="s">
        <v>16</v>
      </c>
      <c r="D26" s="6">
        <v>0</v>
      </c>
      <c r="E26" s="6">
        <v>0</v>
      </c>
      <c r="F26" s="6">
        <v>0</v>
      </c>
      <c r="G26" s="6">
        <f t="shared" si="6"/>
        <v>0</v>
      </c>
    </row>
    <row r="27" spans="1:15" ht="15.75">
      <c r="A27" s="4" t="s">
        <v>102</v>
      </c>
      <c r="B27" s="5" t="s">
        <v>63</v>
      </c>
      <c r="C27" s="34" t="s">
        <v>16</v>
      </c>
      <c r="D27" s="6">
        <v>0</v>
      </c>
      <c r="E27" s="6">
        <v>0</v>
      </c>
      <c r="F27" s="6">
        <v>0</v>
      </c>
      <c r="G27" s="6">
        <f t="shared" si="6"/>
        <v>0</v>
      </c>
    </row>
    <row r="28" spans="1:15" ht="15.75">
      <c r="A28" s="4" t="s">
        <v>103</v>
      </c>
      <c r="B28" s="5" t="s">
        <v>65</v>
      </c>
      <c r="C28" s="34" t="s">
        <v>16</v>
      </c>
      <c r="D28" s="6">
        <v>0</v>
      </c>
      <c r="E28" s="6">
        <v>0</v>
      </c>
      <c r="F28" s="6">
        <v>0</v>
      </c>
      <c r="G28" s="6">
        <f t="shared" si="6"/>
        <v>0</v>
      </c>
    </row>
    <row r="29" spans="1:15" ht="15.75">
      <c r="A29" s="4" t="s">
        <v>104</v>
      </c>
      <c r="B29" s="5" t="s">
        <v>67</v>
      </c>
      <c r="C29" s="34" t="s">
        <v>16</v>
      </c>
      <c r="D29" s="6">
        <f>527.4/1.18</f>
        <v>446.94915254237287</v>
      </c>
      <c r="E29" s="6">
        <f>552.14/1.18</f>
        <v>467.91525423728814</v>
      </c>
      <c r="F29" s="6">
        <f>533.13/1.18</f>
        <v>451.80508474576271</v>
      </c>
      <c r="G29" s="6">
        <f t="shared" si="6"/>
        <v>1366.6694915254238</v>
      </c>
    </row>
    <row r="30" spans="1:15" ht="15.75">
      <c r="A30" s="4" t="s">
        <v>105</v>
      </c>
      <c r="B30" s="5" t="s">
        <v>68</v>
      </c>
      <c r="C30" s="34" t="s">
        <v>16</v>
      </c>
      <c r="D30" s="6">
        <v>0</v>
      </c>
      <c r="E30" s="6">
        <v>0</v>
      </c>
      <c r="F30" s="6">
        <v>0</v>
      </c>
      <c r="G30" s="6">
        <f t="shared" si="6"/>
        <v>0</v>
      </c>
    </row>
    <row r="31" spans="1:15" ht="15.75">
      <c r="A31" s="4" t="s">
        <v>106</v>
      </c>
      <c r="B31" s="5" t="s">
        <v>70</v>
      </c>
      <c r="C31" s="34" t="s">
        <v>16</v>
      </c>
      <c r="D31" s="6">
        <f>19.4/1.18</f>
        <v>16.440677966101696</v>
      </c>
      <c r="E31" s="6">
        <f>19.79/1.18</f>
        <v>16.771186440677965</v>
      </c>
      <c r="F31" s="6">
        <f>20.45/1.18</f>
        <v>17.33050847457627</v>
      </c>
      <c r="G31" s="6">
        <f t="shared" si="6"/>
        <v>50.542372881355931</v>
      </c>
    </row>
    <row r="32" spans="1:15">
      <c r="A32" s="4" t="s">
        <v>107</v>
      </c>
      <c r="B32" s="28" t="s">
        <v>140</v>
      </c>
      <c r="C32" s="29" t="s">
        <v>16</v>
      </c>
      <c r="D32" s="10">
        <f>SUM(D33:D42)</f>
        <v>421.32203389830511</v>
      </c>
      <c r="E32" s="10">
        <f t="shared" ref="E32:F32" si="7">SUM(E33:E42)</f>
        <v>390.14406779661016</v>
      </c>
      <c r="F32" s="10">
        <f t="shared" si="7"/>
        <v>477.83050847457628</v>
      </c>
      <c r="G32" s="10">
        <f t="shared" si="6"/>
        <v>1289.2966101694915</v>
      </c>
    </row>
    <row r="33" spans="1:7" ht="15.75">
      <c r="A33" s="4" t="s">
        <v>112</v>
      </c>
      <c r="B33" s="5" t="s">
        <v>53</v>
      </c>
      <c r="C33" s="34" t="s">
        <v>16</v>
      </c>
      <c r="D33" s="6">
        <f>0.02/1.18</f>
        <v>1.6949152542372881E-2</v>
      </c>
      <c r="E33" s="6">
        <f>0.62/1.18</f>
        <v>0.52542372881355937</v>
      </c>
      <c r="F33" s="6">
        <f>0.31/1.18</f>
        <v>0.26271186440677968</v>
      </c>
      <c r="G33" s="6">
        <f t="shared" si="6"/>
        <v>0.80508474576271194</v>
      </c>
    </row>
    <row r="34" spans="1:7" ht="15.75">
      <c r="A34" s="4" t="s">
        <v>113</v>
      </c>
      <c r="B34" s="5" t="s">
        <v>55</v>
      </c>
      <c r="C34" s="34" t="s">
        <v>16</v>
      </c>
      <c r="D34" s="6">
        <f>17.11/1.18</f>
        <v>14.5</v>
      </c>
      <c r="E34" s="6">
        <f>1.94/1.18</f>
        <v>1.6440677966101696</v>
      </c>
      <c r="F34" s="6">
        <f>10.73/1.18</f>
        <v>9.0932203389830519</v>
      </c>
      <c r="G34" s="6">
        <f t="shared" si="6"/>
        <v>25.237288135593221</v>
      </c>
    </row>
    <row r="35" spans="1:7" ht="15.75">
      <c r="A35" s="4" t="s">
        <v>114</v>
      </c>
      <c r="B35" s="5" t="s">
        <v>57</v>
      </c>
      <c r="C35" s="34" t="s">
        <v>16</v>
      </c>
      <c r="D35" s="6">
        <f>0.02/1.18</f>
        <v>1.6949152542372881E-2</v>
      </c>
      <c r="E35" s="6">
        <f>26.65/1.18</f>
        <v>22.584745762711865</v>
      </c>
      <c r="F35" s="6">
        <f>36.99/1.18</f>
        <v>31.347457627118647</v>
      </c>
      <c r="G35" s="6">
        <f t="shared" si="6"/>
        <v>53.949152542372886</v>
      </c>
    </row>
    <row r="36" spans="1:7" ht="15.75">
      <c r="A36" s="4" t="s">
        <v>115</v>
      </c>
      <c r="B36" s="5" t="s">
        <v>59</v>
      </c>
      <c r="C36" s="34" t="s">
        <v>16</v>
      </c>
      <c r="D36" s="6">
        <v>0</v>
      </c>
      <c r="E36" s="6">
        <v>0</v>
      </c>
      <c r="F36" s="6">
        <v>0</v>
      </c>
      <c r="G36" s="6">
        <f t="shared" si="6"/>
        <v>0</v>
      </c>
    </row>
    <row r="37" spans="1:7" ht="15.75">
      <c r="A37" s="4" t="s">
        <v>116</v>
      </c>
      <c r="B37" s="5" t="s">
        <v>61</v>
      </c>
      <c r="C37" s="34" t="s">
        <v>16</v>
      </c>
      <c r="D37" s="6">
        <v>0</v>
      </c>
      <c r="E37" s="6">
        <v>0</v>
      </c>
      <c r="F37" s="6">
        <f>3.9/1.18</f>
        <v>3.3050847457627119</v>
      </c>
      <c r="G37" s="6">
        <f t="shared" si="6"/>
        <v>3.3050847457627119</v>
      </c>
    </row>
    <row r="38" spans="1:7" ht="15.75">
      <c r="A38" s="4" t="s">
        <v>117</v>
      </c>
      <c r="B38" s="5" t="s">
        <v>63</v>
      </c>
      <c r="C38" s="34" t="s">
        <v>16</v>
      </c>
      <c r="D38" s="6">
        <v>0</v>
      </c>
      <c r="E38" s="6">
        <v>0</v>
      </c>
      <c r="F38" s="6">
        <v>0</v>
      </c>
      <c r="G38" s="6">
        <f t="shared" si="6"/>
        <v>0</v>
      </c>
    </row>
    <row r="39" spans="1:7" ht="15.75">
      <c r="A39" s="4" t="s">
        <v>118</v>
      </c>
      <c r="B39" s="5" t="s">
        <v>65</v>
      </c>
      <c r="C39" s="34" t="s">
        <v>16</v>
      </c>
      <c r="D39" s="6">
        <f>99.09/1.18</f>
        <v>83.97457627118645</v>
      </c>
      <c r="E39" s="6">
        <f>88.87/1.18</f>
        <v>75.31355932203391</v>
      </c>
      <c r="F39" s="6">
        <f>93.03/1.18</f>
        <v>78.83898305084746</v>
      </c>
      <c r="G39" s="6">
        <f t="shared" si="6"/>
        <v>238.12711864406782</v>
      </c>
    </row>
    <row r="40" spans="1:7" ht="15.75">
      <c r="A40" s="4" t="s">
        <v>119</v>
      </c>
      <c r="B40" s="5" t="s">
        <v>67</v>
      </c>
      <c r="C40" s="34" t="s">
        <v>16</v>
      </c>
      <c r="D40" s="8">
        <f>370.57/1.18</f>
        <v>314.04237288135596</v>
      </c>
      <c r="E40" s="8">
        <f>318.58/1.18</f>
        <v>269.9830508474576</v>
      </c>
      <c r="F40" s="8">
        <f>386.44/1.18</f>
        <v>327.49152542372883</v>
      </c>
      <c r="G40" s="6">
        <f t="shared" si="6"/>
        <v>911.51694915254245</v>
      </c>
    </row>
    <row r="41" spans="1:7" ht="15.75">
      <c r="A41" s="4">
        <v>10.09</v>
      </c>
      <c r="B41" s="5" t="s">
        <v>68</v>
      </c>
      <c r="C41" s="34" t="s">
        <v>16</v>
      </c>
      <c r="D41" s="8">
        <v>0</v>
      </c>
      <c r="E41" s="8">
        <v>0</v>
      </c>
      <c r="F41" s="8">
        <v>0</v>
      </c>
      <c r="G41" s="6">
        <f t="shared" si="6"/>
        <v>0</v>
      </c>
    </row>
    <row r="42" spans="1:7" ht="15.75">
      <c r="A42" s="4" t="s">
        <v>121</v>
      </c>
      <c r="B42" s="5" t="s">
        <v>70</v>
      </c>
      <c r="C42" s="34" t="s">
        <v>16</v>
      </c>
      <c r="D42" s="6">
        <f>10.35/1.18</f>
        <v>8.7711864406779654</v>
      </c>
      <c r="E42" s="6">
        <f>23.71/1.18</f>
        <v>20.093220338983052</v>
      </c>
      <c r="F42" s="6">
        <f>32.44/1.18</f>
        <v>27.491525423728813</v>
      </c>
      <c r="G42" s="6">
        <f t="shared" si="6"/>
        <v>56.355932203389827</v>
      </c>
    </row>
    <row r="43" spans="1:7" ht="30">
      <c r="A43" s="4" t="s">
        <v>122</v>
      </c>
      <c r="B43" s="5" t="s">
        <v>157</v>
      </c>
      <c r="C43" s="4" t="s">
        <v>16</v>
      </c>
      <c r="D43" s="6">
        <f>D32-D21</f>
        <v>-63.830508474576277</v>
      </c>
      <c r="E43" s="6">
        <f t="shared" ref="E43:G43" si="8">E32-E21</f>
        <v>-123.93220338983048</v>
      </c>
      <c r="F43" s="6">
        <f t="shared" si="8"/>
        <v>-16.152542372881385</v>
      </c>
      <c r="G43" s="6">
        <f t="shared" si="8"/>
        <v>-203.91525423728831</v>
      </c>
    </row>
    <row r="44" spans="1:7" ht="52.5" customHeight="1">
      <c r="A44" s="72" t="s">
        <v>155</v>
      </c>
      <c r="B44" s="73"/>
      <c r="C44" s="68" t="s">
        <v>16</v>
      </c>
      <c r="D44" s="69">
        <f>D21-D18</f>
        <v>-1708.9974576271184</v>
      </c>
      <c r="E44" s="69">
        <f t="shared" ref="E44:G44" si="9">E21-E18</f>
        <v>-1530.8297288135595</v>
      </c>
      <c r="F44" s="69">
        <f t="shared" si="9"/>
        <v>-1254.6009491525424</v>
      </c>
      <c r="G44" s="69">
        <f t="shared" si="9"/>
        <v>-4429.139135593221</v>
      </c>
    </row>
    <row r="45" spans="1:7" ht="32.25" customHeight="1">
      <c r="A45" s="74" t="s">
        <v>156</v>
      </c>
      <c r="B45" s="75"/>
      <c r="C45" s="4" t="s">
        <v>16</v>
      </c>
      <c r="D45" s="6">
        <f>D32-D18</f>
        <v>-1772.8279661016945</v>
      </c>
      <c r="E45" s="6">
        <f t="shared" ref="E45:G45" si="10">E32-E18</f>
        <v>-1654.76193220339</v>
      </c>
      <c r="F45" s="6">
        <f t="shared" si="10"/>
        <v>-1270.7534915254237</v>
      </c>
      <c r="G45" s="6">
        <f t="shared" si="10"/>
        <v>-4633.0543898305095</v>
      </c>
    </row>
    <row r="46" spans="1:7">
      <c r="A46" s="2"/>
      <c r="B46" s="3"/>
      <c r="C46" s="2"/>
      <c r="D46" s="2"/>
      <c r="E46" s="2"/>
      <c r="F46" s="2"/>
      <c r="G46" s="2"/>
    </row>
    <row r="47" spans="1:7">
      <c r="A47" s="2"/>
      <c r="B47" s="3"/>
      <c r="C47" s="2"/>
      <c r="D47" s="2"/>
      <c r="E47" s="2"/>
      <c r="F47" s="2"/>
      <c r="G47" s="2"/>
    </row>
    <row r="48" spans="1:7">
      <c r="A48" s="2"/>
      <c r="B48" s="3"/>
      <c r="C48" s="2"/>
      <c r="D48" s="2"/>
      <c r="E48" s="2"/>
      <c r="F48" s="2"/>
      <c r="G48" s="2"/>
    </row>
    <row r="49" spans="1:7">
      <c r="A49" s="2"/>
      <c r="B49" s="3"/>
      <c r="C49" s="2"/>
      <c r="D49" s="2"/>
      <c r="E49" s="2"/>
      <c r="F49" s="2"/>
      <c r="G49" s="2"/>
    </row>
    <row r="50" spans="1:7">
      <c r="A50" s="2"/>
      <c r="B50" s="3"/>
      <c r="C50" s="2"/>
      <c r="D50" s="2"/>
      <c r="E50" s="2"/>
      <c r="F50" s="2"/>
      <c r="G50" s="2"/>
    </row>
    <row r="51" spans="1:7">
      <c r="A51" s="2"/>
      <c r="B51" s="3"/>
      <c r="C51" s="2"/>
      <c r="D51" s="2"/>
      <c r="E51" s="2"/>
      <c r="F51" s="2"/>
      <c r="G51" s="2"/>
    </row>
    <row r="52" spans="1:7">
      <c r="A52" s="2"/>
      <c r="B52" s="3"/>
      <c r="C52" s="2"/>
      <c r="D52" s="2"/>
      <c r="E52" s="2"/>
      <c r="F52" s="2"/>
      <c r="G52" s="2"/>
    </row>
    <row r="53" spans="1:7">
      <c r="A53" s="2"/>
      <c r="B53" s="3"/>
      <c r="C53" s="2"/>
      <c r="D53" s="2"/>
      <c r="E53" s="2"/>
      <c r="F53" s="2"/>
      <c r="G53" s="2"/>
    </row>
    <row r="54" spans="1:7">
      <c r="A54" s="2"/>
      <c r="B54" s="3"/>
      <c r="C54" s="2"/>
      <c r="D54" s="2"/>
      <c r="E54" s="2"/>
      <c r="F54" s="2"/>
      <c r="G54" s="2"/>
    </row>
    <row r="55" spans="1:7">
      <c r="A55" s="2"/>
      <c r="B55" s="3"/>
      <c r="C55" s="2"/>
      <c r="D55" s="2"/>
      <c r="E55" s="2"/>
      <c r="F55" s="2"/>
      <c r="G55" s="2"/>
    </row>
    <row r="56" spans="1:7">
      <c r="A56" s="2"/>
      <c r="B56" s="3"/>
      <c r="C56" s="2"/>
      <c r="D56" s="2"/>
      <c r="E56" s="2"/>
      <c r="F56" s="2"/>
      <c r="G56" s="2"/>
    </row>
    <row r="57" spans="1:7">
      <c r="A57" s="2"/>
      <c r="B57" s="3"/>
      <c r="C57" s="2"/>
      <c r="D57" s="2"/>
      <c r="E57" s="2"/>
      <c r="F57" s="2"/>
      <c r="G57" s="2"/>
    </row>
    <row r="58" spans="1:7">
      <c r="A58" s="2"/>
      <c r="B58" s="3"/>
      <c r="C58" s="2"/>
      <c r="D58" s="2"/>
      <c r="E58" s="2"/>
      <c r="F58" s="2"/>
      <c r="G58" s="2"/>
    </row>
    <row r="59" spans="1:7">
      <c r="A59" s="2"/>
      <c r="B59" s="3"/>
      <c r="C59" s="2"/>
      <c r="D59" s="2"/>
      <c r="E59" s="2"/>
      <c r="F59" s="2"/>
      <c r="G59" s="2"/>
    </row>
    <row r="60" spans="1:7">
      <c r="A60" s="2"/>
      <c r="B60" s="3"/>
      <c r="C60" s="2"/>
      <c r="D60" s="2"/>
      <c r="E60" s="2"/>
      <c r="F60" s="2"/>
      <c r="G60" s="2"/>
    </row>
    <row r="61" spans="1:7">
      <c r="A61" s="2"/>
      <c r="B61" s="3"/>
      <c r="C61" s="2"/>
      <c r="D61" s="2"/>
      <c r="E61" s="2"/>
      <c r="F61" s="2"/>
      <c r="G61" s="2"/>
    </row>
    <row r="62" spans="1:7">
      <c r="A62" s="2"/>
      <c r="B62" s="3"/>
      <c r="C62" s="2"/>
      <c r="D62" s="2"/>
      <c r="E62" s="2"/>
      <c r="F62" s="2"/>
      <c r="G62" s="2"/>
    </row>
    <row r="63" spans="1:7">
      <c r="A63" s="2"/>
      <c r="B63" s="3"/>
      <c r="C63" s="2"/>
      <c r="D63" s="2"/>
      <c r="E63" s="2"/>
      <c r="F63" s="2"/>
      <c r="G63" s="2"/>
    </row>
    <row r="64" spans="1:7">
      <c r="A64" s="2"/>
      <c r="B64" s="3"/>
      <c r="C64" s="2"/>
      <c r="D64" s="2"/>
      <c r="E64" s="2"/>
      <c r="F64" s="2"/>
      <c r="G64" s="2"/>
    </row>
    <row r="65" spans="1:7">
      <c r="A65" s="2"/>
      <c r="B65" s="3"/>
      <c r="C65" s="2"/>
      <c r="D65" s="2"/>
      <c r="E65" s="2"/>
      <c r="F65" s="2"/>
      <c r="G65" s="2"/>
    </row>
    <row r="66" spans="1:7">
      <c r="A66" s="2"/>
      <c r="B66" s="3"/>
      <c r="C66" s="2"/>
      <c r="D66" s="2"/>
      <c r="E66" s="2"/>
      <c r="F66" s="2"/>
      <c r="G66" s="2"/>
    </row>
    <row r="67" spans="1:7">
      <c r="A67" s="2"/>
      <c r="B67" s="3"/>
      <c r="C67" s="2"/>
      <c r="D67" s="2"/>
      <c r="E67" s="2"/>
      <c r="F67" s="2"/>
      <c r="G67" s="2"/>
    </row>
    <row r="68" spans="1:7">
      <c r="A68" s="2"/>
      <c r="B68" s="3"/>
      <c r="C68" s="2"/>
      <c r="D68" s="2"/>
      <c r="E68" s="2"/>
      <c r="F68" s="2"/>
      <c r="G68" s="2"/>
    </row>
    <row r="69" spans="1:7">
      <c r="A69" s="2"/>
      <c r="B69" s="3"/>
      <c r="C69" s="2"/>
      <c r="D69" s="2"/>
      <c r="E69" s="2"/>
      <c r="F69" s="2"/>
      <c r="G69" s="2"/>
    </row>
    <row r="70" spans="1:7">
      <c r="A70" s="2"/>
      <c r="B70" s="3"/>
      <c r="C70" s="2"/>
      <c r="D70" s="2"/>
      <c r="E70" s="2"/>
      <c r="F70" s="2"/>
      <c r="G70" s="2"/>
    </row>
    <row r="71" spans="1:7">
      <c r="A71" s="2"/>
      <c r="B71" s="3"/>
      <c r="C71" s="2"/>
      <c r="D71" s="2"/>
      <c r="E71" s="2"/>
      <c r="F71" s="2"/>
      <c r="G71" s="2"/>
    </row>
    <row r="72" spans="1:7">
      <c r="A72" s="2"/>
      <c r="B72" s="3"/>
      <c r="C72" s="2"/>
      <c r="D72" s="2"/>
      <c r="E72" s="2"/>
      <c r="F72" s="2"/>
      <c r="G72" s="2"/>
    </row>
    <row r="73" spans="1:7">
      <c r="A73" s="2"/>
      <c r="B73" s="3"/>
      <c r="C73" s="2"/>
      <c r="D73" s="2"/>
      <c r="E73" s="2"/>
      <c r="F73" s="2"/>
      <c r="G73" s="2"/>
    </row>
    <row r="74" spans="1:7">
      <c r="A74" s="2"/>
      <c r="B74" s="3"/>
      <c r="C74" s="2"/>
      <c r="D74" s="2"/>
      <c r="E74" s="2"/>
      <c r="F74" s="2"/>
      <c r="G74" s="2"/>
    </row>
    <row r="75" spans="1:7">
      <c r="A75" s="2"/>
      <c r="B75" s="3"/>
      <c r="C75" s="2"/>
      <c r="D75" s="2"/>
      <c r="E75" s="2"/>
      <c r="F75" s="2"/>
      <c r="G75" s="2"/>
    </row>
    <row r="76" spans="1:7">
      <c r="A76" s="2"/>
      <c r="B76" s="3"/>
      <c r="C76" s="2"/>
      <c r="D76" s="2"/>
      <c r="E76" s="2"/>
      <c r="F76" s="2"/>
      <c r="G76" s="2"/>
    </row>
    <row r="77" spans="1:7">
      <c r="A77" s="2"/>
      <c r="B77" s="3"/>
      <c r="C77" s="2"/>
      <c r="D77" s="2"/>
      <c r="E77" s="2"/>
      <c r="F77" s="2"/>
      <c r="G77" s="2"/>
    </row>
    <row r="78" spans="1:7">
      <c r="A78" s="2"/>
      <c r="B78" s="3"/>
      <c r="C78" s="2"/>
      <c r="D78" s="2"/>
      <c r="E78" s="2"/>
      <c r="F78" s="2"/>
      <c r="G78" s="2"/>
    </row>
    <row r="79" spans="1:7">
      <c r="A79" s="2"/>
      <c r="B79" s="3"/>
      <c r="C79" s="2"/>
      <c r="D79" s="2"/>
      <c r="E79" s="2"/>
      <c r="F79" s="2"/>
      <c r="G79" s="2"/>
    </row>
    <row r="80" spans="1:7">
      <c r="A80" s="2"/>
      <c r="B80" s="3"/>
      <c r="C80" s="2"/>
      <c r="D80" s="2"/>
      <c r="E80" s="2"/>
      <c r="F80" s="2"/>
      <c r="G80" s="2"/>
    </row>
    <row r="81" spans="1:7">
      <c r="A81" s="2"/>
      <c r="B81" s="3"/>
      <c r="C81" s="2"/>
      <c r="D81" s="2"/>
      <c r="E81" s="2"/>
      <c r="F81" s="2"/>
      <c r="G81" s="2"/>
    </row>
    <row r="82" spans="1:7">
      <c r="A82" s="2"/>
      <c r="B82" s="3"/>
      <c r="C82" s="2"/>
      <c r="D82" s="2"/>
      <c r="E82" s="2"/>
      <c r="F82" s="2"/>
      <c r="G82" s="2"/>
    </row>
    <row r="83" spans="1:7">
      <c r="A83" s="2"/>
      <c r="B83" s="3"/>
      <c r="C83" s="2"/>
      <c r="D83" s="2"/>
      <c r="E83" s="2"/>
      <c r="F83" s="2"/>
      <c r="G83" s="2"/>
    </row>
    <row r="84" spans="1:7">
      <c r="A84" s="2"/>
      <c r="B84" s="3"/>
      <c r="C84" s="2"/>
      <c r="D84" s="2"/>
      <c r="E84" s="2"/>
      <c r="F84" s="2"/>
      <c r="G84" s="2"/>
    </row>
    <row r="85" spans="1:7">
      <c r="A85" s="2"/>
      <c r="B85" s="3"/>
      <c r="C85" s="2"/>
      <c r="D85" s="2"/>
      <c r="E85" s="2"/>
      <c r="F85" s="2"/>
      <c r="G85" s="2"/>
    </row>
    <row r="86" spans="1:7">
      <c r="A86" s="2"/>
      <c r="B86" s="3"/>
      <c r="C86" s="2"/>
      <c r="D86" s="2"/>
      <c r="E86" s="2"/>
      <c r="F86" s="2"/>
      <c r="G86" s="2"/>
    </row>
    <row r="87" spans="1:7">
      <c r="A87" s="2"/>
      <c r="B87" s="3"/>
      <c r="C87" s="2"/>
      <c r="D87" s="2"/>
      <c r="E87" s="2"/>
      <c r="F87" s="2"/>
      <c r="G87" s="2"/>
    </row>
    <row r="88" spans="1:7">
      <c r="A88" s="2"/>
      <c r="B88" s="3"/>
      <c r="C88" s="2"/>
      <c r="D88" s="2"/>
      <c r="E88" s="2"/>
      <c r="F88" s="2"/>
      <c r="G88" s="2"/>
    </row>
    <row r="89" spans="1:7">
      <c r="A89" s="2"/>
      <c r="B89" s="3"/>
      <c r="C89" s="2"/>
      <c r="D89" s="2"/>
      <c r="E89" s="2"/>
      <c r="F89" s="2"/>
      <c r="G89" s="2"/>
    </row>
    <row r="90" spans="1:7">
      <c r="A90" s="2"/>
      <c r="B90" s="3"/>
      <c r="C90" s="2"/>
      <c r="D90" s="2"/>
      <c r="E90" s="2"/>
      <c r="F90" s="2"/>
      <c r="G90" s="2"/>
    </row>
    <row r="91" spans="1:7">
      <c r="A91" s="2"/>
      <c r="B91" s="3"/>
      <c r="C91" s="2"/>
      <c r="D91" s="2"/>
      <c r="E91" s="2"/>
      <c r="F91" s="2"/>
      <c r="G91" s="2"/>
    </row>
    <row r="92" spans="1:7">
      <c r="A92" s="2"/>
      <c r="B92" s="3"/>
      <c r="C92" s="2"/>
      <c r="D92" s="2"/>
      <c r="E92" s="2"/>
      <c r="F92" s="2"/>
      <c r="G92" s="2"/>
    </row>
    <row r="93" spans="1:7">
      <c r="A93" s="2"/>
      <c r="B93" s="3"/>
      <c r="C93" s="2"/>
      <c r="D93" s="2"/>
      <c r="E93" s="2"/>
      <c r="F93" s="2"/>
      <c r="G93" s="2"/>
    </row>
    <row r="94" spans="1:7">
      <c r="A94" s="2"/>
      <c r="B94" s="3"/>
      <c r="C94" s="2"/>
      <c r="D94" s="2"/>
      <c r="E94" s="2"/>
      <c r="F94" s="2"/>
      <c r="G94" s="2"/>
    </row>
    <row r="95" spans="1:7">
      <c r="A95" s="2"/>
      <c r="B95" s="3"/>
      <c r="C95" s="2"/>
      <c r="D95" s="2"/>
      <c r="E95" s="2"/>
      <c r="F95" s="2"/>
      <c r="G95" s="2"/>
    </row>
    <row r="96" spans="1:7">
      <c r="A96" s="2"/>
      <c r="B96" s="3"/>
      <c r="C96" s="2"/>
      <c r="D96" s="2"/>
      <c r="E96" s="2"/>
      <c r="F96" s="2"/>
      <c r="G96" s="2"/>
    </row>
    <row r="97" spans="1:7">
      <c r="A97" s="2"/>
      <c r="B97" s="3"/>
      <c r="C97" s="2"/>
      <c r="D97" s="2"/>
      <c r="E97" s="2"/>
      <c r="F97" s="2"/>
      <c r="G97" s="2"/>
    </row>
    <row r="98" spans="1:7">
      <c r="A98" s="2"/>
      <c r="B98" s="3"/>
      <c r="C98" s="2"/>
      <c r="D98" s="2"/>
      <c r="E98" s="2"/>
      <c r="F98" s="2"/>
      <c r="G98" s="2"/>
    </row>
    <row r="99" spans="1:7">
      <c r="A99" s="2"/>
      <c r="B99" s="3"/>
      <c r="C99" s="2"/>
      <c r="D99" s="2"/>
      <c r="E99" s="2"/>
      <c r="F99" s="2"/>
      <c r="G99" s="2"/>
    </row>
    <row r="100" spans="1:7">
      <c r="A100" s="2"/>
      <c r="B100" s="3"/>
      <c r="C100" s="2"/>
      <c r="D100" s="2"/>
      <c r="E100" s="2"/>
      <c r="F100" s="2"/>
      <c r="G100" s="2"/>
    </row>
    <row r="101" spans="1:7">
      <c r="A101" s="2"/>
      <c r="B101" s="3"/>
      <c r="C101" s="2"/>
      <c r="D101" s="2"/>
      <c r="E101" s="2"/>
      <c r="F101" s="2"/>
      <c r="G101" s="2"/>
    </row>
    <row r="102" spans="1:7">
      <c r="A102" s="2"/>
      <c r="B102" s="3"/>
      <c r="C102" s="2"/>
      <c r="D102" s="2"/>
      <c r="E102" s="2"/>
      <c r="F102" s="2"/>
      <c r="G102" s="2"/>
    </row>
    <row r="103" spans="1:7">
      <c r="A103" s="2"/>
      <c r="B103" s="3"/>
      <c r="C103" s="2"/>
      <c r="D103" s="2"/>
      <c r="E103" s="2"/>
      <c r="F103" s="2"/>
      <c r="G103" s="2"/>
    </row>
    <row r="104" spans="1:7">
      <c r="A104" s="2"/>
      <c r="B104" s="3"/>
      <c r="C104" s="2"/>
      <c r="D104" s="2"/>
      <c r="E104" s="2"/>
      <c r="F104" s="2"/>
      <c r="G104" s="2"/>
    </row>
    <row r="105" spans="1:7">
      <c r="A105" s="2"/>
      <c r="B105" s="3"/>
      <c r="C105" s="2"/>
      <c r="D105" s="2"/>
      <c r="E105" s="2"/>
      <c r="F105" s="2"/>
      <c r="G105" s="2"/>
    </row>
    <row r="106" spans="1:7">
      <c r="A106" s="2"/>
      <c r="B106" s="3"/>
      <c r="C106" s="2"/>
      <c r="D106" s="2"/>
      <c r="E106" s="2"/>
      <c r="F106" s="2"/>
      <c r="G106" s="2"/>
    </row>
    <row r="107" spans="1:7">
      <c r="A107" s="2"/>
      <c r="B107" s="3"/>
      <c r="C107" s="2"/>
      <c r="D107" s="2"/>
      <c r="E107" s="2"/>
      <c r="F107" s="2"/>
      <c r="G107" s="2"/>
    </row>
    <row r="108" spans="1:7">
      <c r="A108" s="2"/>
      <c r="B108" s="3"/>
      <c r="C108" s="2"/>
      <c r="D108" s="2"/>
      <c r="E108" s="2"/>
      <c r="F108" s="2"/>
      <c r="G108" s="2"/>
    </row>
    <row r="109" spans="1:7">
      <c r="A109" s="2"/>
      <c r="B109" s="3"/>
      <c r="C109" s="2"/>
      <c r="D109" s="2"/>
      <c r="E109" s="2"/>
      <c r="F109" s="2"/>
      <c r="G109" s="2"/>
    </row>
    <row r="110" spans="1:7">
      <c r="A110" s="2"/>
      <c r="B110" s="3"/>
      <c r="C110" s="2"/>
      <c r="D110" s="2"/>
      <c r="E110" s="2"/>
      <c r="F110" s="2"/>
      <c r="G110" s="2"/>
    </row>
    <row r="111" spans="1:7">
      <c r="A111" s="2"/>
      <c r="B111" s="3"/>
      <c r="C111" s="2"/>
      <c r="D111" s="2"/>
      <c r="E111" s="2"/>
      <c r="F111" s="2"/>
      <c r="G111" s="2"/>
    </row>
    <row r="112" spans="1:7">
      <c r="A112" s="2"/>
      <c r="B112" s="3"/>
      <c r="C112" s="2"/>
      <c r="D112" s="2"/>
      <c r="E112" s="2"/>
      <c r="F112" s="2"/>
      <c r="G112" s="2"/>
    </row>
    <row r="113" spans="1:7">
      <c r="A113" s="2"/>
      <c r="B113" s="3"/>
      <c r="C113" s="2"/>
      <c r="D113" s="2"/>
      <c r="E113" s="2"/>
      <c r="F113" s="2"/>
      <c r="G113" s="2"/>
    </row>
    <row r="114" spans="1:7">
      <c r="A114" s="2"/>
      <c r="B114" s="3"/>
      <c r="C114" s="2"/>
      <c r="D114" s="2"/>
      <c r="E114" s="2"/>
      <c r="F114" s="2"/>
      <c r="G114" s="2"/>
    </row>
    <row r="115" spans="1:7">
      <c r="A115" s="2"/>
      <c r="B115" s="3"/>
      <c r="C115" s="2"/>
      <c r="D115" s="2"/>
      <c r="E115" s="2"/>
      <c r="F115" s="2"/>
      <c r="G115" s="2"/>
    </row>
    <row r="116" spans="1:7">
      <c r="A116" s="2"/>
      <c r="B116" s="3"/>
      <c r="C116" s="2"/>
      <c r="D116" s="2"/>
      <c r="E116" s="2"/>
      <c r="F116" s="2"/>
      <c r="G116" s="2"/>
    </row>
    <row r="117" spans="1:7">
      <c r="A117" s="2"/>
      <c r="B117" s="3"/>
      <c r="C117" s="2"/>
      <c r="D117" s="2"/>
      <c r="E117" s="2"/>
      <c r="F117" s="2"/>
      <c r="G117" s="2"/>
    </row>
    <row r="118" spans="1:7">
      <c r="A118" s="2"/>
      <c r="B118" s="3"/>
      <c r="C118" s="2"/>
      <c r="D118" s="2"/>
      <c r="E118" s="2"/>
      <c r="F118" s="2"/>
      <c r="G118" s="2"/>
    </row>
    <row r="119" spans="1:7">
      <c r="A119" s="2"/>
      <c r="B119" s="3"/>
      <c r="C119" s="2"/>
      <c r="D119" s="2"/>
      <c r="E119" s="2"/>
      <c r="F119" s="2"/>
      <c r="G119" s="2"/>
    </row>
    <row r="120" spans="1:7">
      <c r="A120" s="2"/>
      <c r="B120" s="3"/>
      <c r="C120" s="2"/>
      <c r="D120" s="2"/>
      <c r="E120" s="2"/>
      <c r="F120" s="2"/>
      <c r="G120" s="2"/>
    </row>
    <row r="121" spans="1:7">
      <c r="A121" s="2"/>
      <c r="B121" s="3"/>
      <c r="C121" s="2"/>
      <c r="D121" s="2"/>
      <c r="E121" s="2"/>
      <c r="F121" s="2"/>
      <c r="G121" s="2"/>
    </row>
    <row r="122" spans="1:7">
      <c r="A122" s="2"/>
      <c r="B122" s="3"/>
      <c r="C122" s="2"/>
      <c r="D122" s="2"/>
      <c r="E122" s="2"/>
      <c r="F122" s="2"/>
      <c r="G122" s="2"/>
    </row>
    <row r="123" spans="1:7">
      <c r="A123" s="2"/>
      <c r="B123" s="3"/>
      <c r="C123" s="2"/>
      <c r="D123" s="2"/>
      <c r="E123" s="2"/>
      <c r="F123" s="2"/>
      <c r="G123" s="2"/>
    </row>
    <row r="124" spans="1:7">
      <c r="A124" s="2"/>
      <c r="B124" s="3"/>
      <c r="C124" s="2"/>
      <c r="D124" s="2"/>
      <c r="E124" s="2"/>
      <c r="F124" s="2"/>
      <c r="G124" s="2"/>
    </row>
    <row r="125" spans="1:7">
      <c r="A125" s="2"/>
      <c r="B125" s="3"/>
      <c r="C125" s="2"/>
      <c r="D125" s="2"/>
      <c r="E125" s="2"/>
      <c r="F125" s="2"/>
      <c r="G125" s="2"/>
    </row>
    <row r="126" spans="1:7">
      <c r="A126" s="2"/>
      <c r="B126" s="3"/>
      <c r="C126" s="2"/>
      <c r="D126" s="2"/>
      <c r="E126" s="2"/>
      <c r="F126" s="2"/>
      <c r="G126" s="2"/>
    </row>
    <row r="127" spans="1:7">
      <c r="A127" s="2"/>
      <c r="B127" s="3"/>
      <c r="C127" s="2"/>
      <c r="D127" s="2"/>
      <c r="E127" s="2"/>
      <c r="F127" s="2"/>
      <c r="G127" s="2"/>
    </row>
    <row r="128" spans="1:7">
      <c r="A128" s="2"/>
      <c r="B128" s="3"/>
      <c r="C128" s="2"/>
      <c r="D128" s="2"/>
      <c r="E128" s="2"/>
      <c r="F128" s="2"/>
      <c r="G128" s="2"/>
    </row>
    <row r="129" spans="1:7">
      <c r="A129" s="2"/>
      <c r="B129" s="3"/>
      <c r="C129" s="2"/>
      <c r="D129" s="2"/>
      <c r="E129" s="2"/>
      <c r="F129" s="2"/>
      <c r="G129" s="2"/>
    </row>
    <row r="130" spans="1:7">
      <c r="A130" s="2"/>
      <c r="B130" s="3"/>
      <c r="C130" s="2"/>
      <c r="D130" s="2"/>
      <c r="E130" s="2"/>
      <c r="F130" s="2"/>
      <c r="G130" s="2"/>
    </row>
    <row r="131" spans="1:7">
      <c r="A131" s="2"/>
      <c r="B131" s="3"/>
      <c r="C131" s="2"/>
      <c r="D131" s="2"/>
      <c r="E131" s="2"/>
      <c r="F131" s="2"/>
      <c r="G131" s="2"/>
    </row>
    <row r="132" spans="1:7">
      <c r="A132" s="2"/>
      <c r="B132" s="3"/>
      <c r="C132" s="2"/>
      <c r="D132" s="2"/>
      <c r="E132" s="2"/>
      <c r="F132" s="2"/>
      <c r="G132" s="2"/>
    </row>
    <row r="133" spans="1:7">
      <c r="A133" s="2"/>
      <c r="B133" s="3"/>
      <c r="C133" s="2"/>
      <c r="D133" s="2"/>
      <c r="E133" s="2"/>
      <c r="F133" s="2"/>
      <c r="G133" s="2"/>
    </row>
    <row r="134" spans="1:7">
      <c r="A134" s="2"/>
      <c r="B134" s="3"/>
      <c r="C134" s="2"/>
      <c r="D134" s="2"/>
      <c r="E134" s="2"/>
      <c r="F134" s="2"/>
      <c r="G134" s="2"/>
    </row>
    <row r="135" spans="1:7">
      <c r="A135" s="2"/>
      <c r="B135" s="3"/>
      <c r="C135" s="2"/>
      <c r="D135" s="2"/>
      <c r="E135" s="2"/>
      <c r="F135" s="2"/>
      <c r="G135" s="2"/>
    </row>
    <row r="136" spans="1:7">
      <c r="A136" s="2"/>
      <c r="B136" s="3"/>
      <c r="C136" s="2"/>
      <c r="D136" s="2"/>
      <c r="E136" s="2"/>
      <c r="F136" s="2"/>
      <c r="G136" s="2"/>
    </row>
    <row r="137" spans="1:7">
      <c r="A137" s="2"/>
      <c r="B137" s="3"/>
      <c r="C137" s="2"/>
      <c r="D137" s="2"/>
      <c r="E137" s="2"/>
      <c r="F137" s="2"/>
      <c r="G137" s="2"/>
    </row>
    <row r="138" spans="1:7">
      <c r="A138" s="2"/>
      <c r="B138" s="3"/>
      <c r="C138" s="2"/>
      <c r="D138" s="2"/>
      <c r="E138" s="2"/>
      <c r="F138" s="2"/>
      <c r="G138" s="2"/>
    </row>
    <row r="139" spans="1:7">
      <c r="A139" s="2"/>
      <c r="B139" s="3"/>
      <c r="C139" s="2"/>
      <c r="D139" s="2"/>
      <c r="E139" s="2"/>
      <c r="F139" s="2"/>
      <c r="G139" s="2"/>
    </row>
    <row r="140" spans="1:7">
      <c r="A140" s="2"/>
      <c r="B140" s="3"/>
      <c r="C140" s="2"/>
      <c r="D140" s="2"/>
      <c r="E140" s="2"/>
      <c r="F140" s="2"/>
      <c r="G140" s="2"/>
    </row>
    <row r="141" spans="1:7">
      <c r="A141" s="2"/>
      <c r="B141" s="3"/>
      <c r="C141" s="2"/>
      <c r="D141" s="2"/>
      <c r="E141" s="2"/>
      <c r="F141" s="2"/>
      <c r="G141" s="2"/>
    </row>
    <row r="142" spans="1:7">
      <c r="A142" s="2"/>
      <c r="B142" s="3"/>
      <c r="C142" s="2"/>
      <c r="D142" s="2"/>
      <c r="E142" s="2"/>
      <c r="F142" s="2"/>
      <c r="G142" s="2"/>
    </row>
    <row r="143" spans="1:7">
      <c r="A143" s="2"/>
      <c r="B143" s="3"/>
      <c r="C143" s="2"/>
      <c r="D143" s="2"/>
      <c r="E143" s="2"/>
      <c r="F143" s="2"/>
      <c r="G143" s="2"/>
    </row>
    <row r="144" spans="1:7">
      <c r="A144" s="2"/>
      <c r="B144" s="3"/>
      <c r="C144" s="2"/>
      <c r="D144" s="2"/>
      <c r="E144" s="2"/>
      <c r="F144" s="2"/>
      <c r="G144" s="2"/>
    </row>
    <row r="145" spans="1:7">
      <c r="A145" s="2"/>
      <c r="B145" s="3"/>
      <c r="C145" s="2"/>
      <c r="D145" s="2"/>
      <c r="E145" s="2"/>
      <c r="F145" s="2"/>
      <c r="G145" s="2"/>
    </row>
    <row r="146" spans="1:7">
      <c r="A146" s="2"/>
      <c r="B146" s="3"/>
      <c r="C146" s="2"/>
      <c r="D146" s="2"/>
      <c r="E146" s="2"/>
      <c r="F146" s="2"/>
      <c r="G146" s="2"/>
    </row>
    <row r="147" spans="1:7">
      <c r="A147" s="2"/>
      <c r="B147" s="3"/>
      <c r="C147" s="2"/>
      <c r="D147" s="2"/>
      <c r="E147" s="2"/>
      <c r="F147" s="2"/>
      <c r="G147" s="2"/>
    </row>
    <row r="148" spans="1:7">
      <c r="A148" s="2"/>
      <c r="B148" s="3"/>
      <c r="C148" s="2"/>
      <c r="D148" s="2"/>
      <c r="E148" s="2"/>
      <c r="F148" s="2"/>
      <c r="G148" s="2"/>
    </row>
    <row r="149" spans="1:7">
      <c r="A149" s="2"/>
      <c r="B149" s="3"/>
      <c r="C149" s="2"/>
      <c r="D149" s="2"/>
      <c r="E149" s="2"/>
      <c r="F149" s="2"/>
      <c r="G149" s="2"/>
    </row>
    <row r="150" spans="1:7">
      <c r="A150" s="2"/>
      <c r="B150" s="3"/>
      <c r="C150" s="2"/>
      <c r="D150" s="2"/>
      <c r="E150" s="2"/>
      <c r="F150" s="2"/>
      <c r="G150" s="2"/>
    </row>
    <row r="151" spans="1:7">
      <c r="A151" s="2"/>
      <c r="B151" s="3"/>
      <c r="C151" s="2"/>
      <c r="D151" s="2"/>
      <c r="E151" s="2"/>
      <c r="F151" s="2"/>
      <c r="G151" s="2"/>
    </row>
    <row r="152" spans="1:7">
      <c r="A152" s="2"/>
      <c r="B152" s="3"/>
      <c r="C152" s="2"/>
      <c r="D152" s="2"/>
      <c r="E152" s="2"/>
      <c r="F152" s="2"/>
      <c r="G152" s="2"/>
    </row>
    <row r="153" spans="1:7">
      <c r="A153" s="2"/>
      <c r="B153" s="3"/>
      <c r="C153" s="2"/>
      <c r="D153" s="2"/>
      <c r="E153" s="2"/>
      <c r="F153" s="2"/>
      <c r="G153" s="2"/>
    </row>
    <row r="154" spans="1:7">
      <c r="A154" s="2"/>
      <c r="B154" s="3"/>
      <c r="C154" s="2"/>
      <c r="D154" s="2"/>
      <c r="E154" s="2"/>
      <c r="F154" s="2"/>
      <c r="G154" s="2"/>
    </row>
    <row r="155" spans="1:7">
      <c r="A155" s="2"/>
      <c r="B155" s="3"/>
      <c r="C155" s="2"/>
      <c r="D155" s="2"/>
      <c r="E155" s="2"/>
      <c r="F155" s="2"/>
      <c r="G155" s="2"/>
    </row>
    <row r="156" spans="1:7">
      <c r="A156" s="2"/>
      <c r="B156" s="3"/>
      <c r="C156" s="2"/>
      <c r="D156" s="2"/>
      <c r="E156" s="2"/>
      <c r="F156" s="2"/>
      <c r="G156" s="2"/>
    </row>
    <row r="157" spans="1:7">
      <c r="A157" s="2"/>
      <c r="B157" s="3"/>
      <c r="C157" s="2"/>
      <c r="D157" s="2"/>
      <c r="E157" s="2"/>
      <c r="F157" s="2"/>
      <c r="G157" s="2"/>
    </row>
    <row r="158" spans="1:7">
      <c r="A158" s="2"/>
      <c r="B158" s="3"/>
      <c r="C158" s="2"/>
      <c r="D158" s="2"/>
      <c r="E158" s="2"/>
      <c r="F158" s="2"/>
      <c r="G158" s="2"/>
    </row>
    <row r="159" spans="1:7">
      <c r="A159" s="2"/>
      <c r="B159" s="3"/>
      <c r="C159" s="2"/>
      <c r="D159" s="2"/>
      <c r="E159" s="2"/>
      <c r="F159" s="2"/>
      <c r="G159" s="2"/>
    </row>
    <row r="160" spans="1:7">
      <c r="A160" s="2"/>
      <c r="B160" s="3"/>
      <c r="C160" s="2"/>
      <c r="D160" s="2"/>
      <c r="E160" s="2"/>
      <c r="F160" s="2"/>
      <c r="G160" s="2"/>
    </row>
    <row r="161" spans="1:7">
      <c r="A161" s="2"/>
      <c r="B161" s="3"/>
      <c r="C161" s="2"/>
      <c r="D161" s="2"/>
      <c r="E161" s="2"/>
      <c r="F161" s="2"/>
      <c r="G161" s="2"/>
    </row>
    <row r="162" spans="1:7">
      <c r="A162" s="2"/>
      <c r="B162" s="3"/>
      <c r="C162" s="2"/>
      <c r="D162" s="2"/>
      <c r="E162" s="2"/>
      <c r="F162" s="2"/>
      <c r="G162" s="2"/>
    </row>
    <row r="163" spans="1:7">
      <c r="A163" s="2"/>
      <c r="B163" s="3"/>
      <c r="C163" s="2"/>
      <c r="D163" s="2"/>
      <c r="E163" s="2"/>
      <c r="F163" s="2"/>
      <c r="G163" s="2"/>
    </row>
    <row r="164" spans="1:7">
      <c r="A164" s="2"/>
      <c r="B164" s="3"/>
      <c r="C164" s="2"/>
      <c r="D164" s="2"/>
      <c r="E164" s="2"/>
      <c r="F164" s="2"/>
      <c r="G164" s="2"/>
    </row>
    <row r="165" spans="1:7">
      <c r="A165" s="2"/>
      <c r="B165" s="3"/>
      <c r="C165" s="2"/>
      <c r="D165" s="2"/>
      <c r="E165" s="2"/>
      <c r="F165" s="2"/>
      <c r="G165" s="2"/>
    </row>
    <row r="166" spans="1:7">
      <c r="A166" s="2"/>
      <c r="B166" s="3"/>
      <c r="C166" s="2"/>
      <c r="D166" s="2"/>
      <c r="E166" s="2"/>
      <c r="F166" s="2"/>
      <c r="G166" s="2"/>
    </row>
    <row r="167" spans="1:7">
      <c r="A167" s="2"/>
      <c r="B167" s="3"/>
      <c r="C167" s="2"/>
      <c r="D167" s="2"/>
      <c r="E167" s="2"/>
      <c r="F167" s="2"/>
      <c r="G167" s="2"/>
    </row>
    <row r="168" spans="1:7">
      <c r="A168" s="2"/>
      <c r="B168" s="3"/>
      <c r="C168" s="2"/>
      <c r="D168" s="2"/>
      <c r="E168" s="2"/>
      <c r="F168" s="2"/>
      <c r="G168" s="2"/>
    </row>
    <row r="169" spans="1:7">
      <c r="A169" s="2"/>
      <c r="B169" s="3"/>
      <c r="C169" s="2"/>
      <c r="D169" s="2"/>
      <c r="E169" s="2"/>
      <c r="F169" s="2"/>
      <c r="G169" s="2"/>
    </row>
    <row r="170" spans="1:7">
      <c r="A170" s="2"/>
      <c r="B170" s="3"/>
      <c r="C170" s="2"/>
      <c r="D170" s="2"/>
      <c r="E170" s="2"/>
      <c r="F170" s="2"/>
      <c r="G170" s="2"/>
    </row>
    <row r="171" spans="1:7">
      <c r="A171" s="2"/>
      <c r="B171" s="3"/>
      <c r="C171" s="2"/>
      <c r="D171" s="2"/>
      <c r="E171" s="2"/>
      <c r="F171" s="2"/>
      <c r="G171" s="2"/>
    </row>
    <row r="172" spans="1:7">
      <c r="A172" s="2"/>
      <c r="B172" s="3"/>
      <c r="C172" s="2"/>
      <c r="D172" s="2"/>
      <c r="E172" s="2"/>
      <c r="F172" s="2"/>
      <c r="G172" s="2"/>
    </row>
    <row r="173" spans="1:7">
      <c r="A173" s="2"/>
      <c r="B173" s="3"/>
      <c r="C173" s="2"/>
      <c r="D173" s="2"/>
      <c r="E173" s="2"/>
      <c r="F173" s="2"/>
      <c r="G173" s="2"/>
    </row>
    <row r="174" spans="1:7">
      <c r="A174" s="2"/>
      <c r="B174" s="3"/>
      <c r="C174" s="2"/>
      <c r="D174" s="2"/>
      <c r="E174" s="2"/>
      <c r="F174" s="2"/>
      <c r="G174" s="2"/>
    </row>
    <row r="175" spans="1:7">
      <c r="A175" s="2"/>
      <c r="B175" s="3"/>
      <c r="C175" s="2"/>
      <c r="D175" s="2"/>
      <c r="E175" s="2"/>
      <c r="F175" s="2"/>
      <c r="G175" s="2"/>
    </row>
    <row r="176" spans="1:7">
      <c r="A176" s="2"/>
      <c r="B176" s="3"/>
      <c r="C176" s="2"/>
      <c r="D176" s="2"/>
      <c r="E176" s="2"/>
      <c r="F176" s="2"/>
      <c r="G176" s="2"/>
    </row>
    <row r="177" spans="1:7">
      <c r="A177" s="2"/>
      <c r="B177" s="3"/>
      <c r="C177" s="2"/>
      <c r="D177" s="2"/>
      <c r="E177" s="2"/>
      <c r="F177" s="2"/>
      <c r="G177" s="2"/>
    </row>
    <row r="178" spans="1:7">
      <c r="A178" s="2"/>
      <c r="B178" s="3"/>
      <c r="C178" s="2"/>
      <c r="D178" s="2"/>
      <c r="E178" s="2"/>
      <c r="F178" s="2"/>
      <c r="G178" s="2"/>
    </row>
    <row r="179" spans="1:7">
      <c r="A179" s="2"/>
      <c r="B179" s="3"/>
      <c r="C179" s="2"/>
      <c r="D179" s="2"/>
      <c r="E179" s="2"/>
      <c r="F179" s="2"/>
      <c r="G179" s="2"/>
    </row>
    <row r="180" spans="1:7">
      <c r="A180" s="2"/>
      <c r="B180" s="3"/>
      <c r="C180" s="2"/>
      <c r="D180" s="2"/>
      <c r="E180" s="2"/>
      <c r="F180" s="2"/>
      <c r="G180" s="2"/>
    </row>
    <row r="181" spans="1:7">
      <c r="A181" s="2"/>
      <c r="B181" s="3"/>
      <c r="C181" s="2"/>
      <c r="D181" s="2"/>
      <c r="E181" s="2"/>
      <c r="F181" s="2"/>
      <c r="G181" s="2"/>
    </row>
    <row r="182" spans="1:7">
      <c r="A182" s="2"/>
      <c r="B182" s="3"/>
      <c r="C182" s="2"/>
      <c r="D182" s="2"/>
      <c r="E182" s="2"/>
      <c r="F182" s="2"/>
      <c r="G182" s="2"/>
    </row>
    <row r="183" spans="1:7">
      <c r="A183" s="2"/>
      <c r="B183" s="3"/>
      <c r="C183" s="2"/>
      <c r="D183" s="2"/>
      <c r="E183" s="2"/>
      <c r="F183" s="2"/>
      <c r="G183" s="2"/>
    </row>
    <row r="184" spans="1:7">
      <c r="A184" s="2"/>
      <c r="B184" s="3"/>
      <c r="C184" s="2"/>
      <c r="D184" s="2"/>
      <c r="E184" s="2"/>
      <c r="F184" s="2"/>
      <c r="G184" s="2"/>
    </row>
    <row r="185" spans="1:7">
      <c r="A185" s="2"/>
      <c r="B185" s="3"/>
      <c r="C185" s="2"/>
      <c r="D185" s="2"/>
      <c r="E185" s="2"/>
      <c r="F185" s="2"/>
      <c r="G185" s="2"/>
    </row>
    <row r="186" spans="1:7">
      <c r="A186" s="2"/>
      <c r="B186" s="3"/>
      <c r="C186" s="2"/>
      <c r="D186" s="2"/>
      <c r="E186" s="2"/>
      <c r="F186" s="2"/>
      <c r="G186" s="2"/>
    </row>
    <row r="187" spans="1:7">
      <c r="A187" s="2"/>
      <c r="B187" s="3"/>
      <c r="C187" s="2"/>
      <c r="D187" s="2"/>
      <c r="E187" s="2"/>
      <c r="F187" s="2"/>
      <c r="G187" s="2"/>
    </row>
    <row r="188" spans="1:7">
      <c r="A188" s="2"/>
      <c r="B188" s="3"/>
      <c r="C188" s="2"/>
      <c r="D188" s="2"/>
      <c r="E188" s="2"/>
      <c r="F188" s="2"/>
      <c r="G188" s="2"/>
    </row>
    <row r="189" spans="1:7">
      <c r="A189" s="2"/>
      <c r="B189" s="3"/>
      <c r="C189" s="2"/>
      <c r="D189" s="2"/>
      <c r="E189" s="2"/>
      <c r="F189" s="2"/>
      <c r="G189" s="2"/>
    </row>
    <row r="190" spans="1:7">
      <c r="A190" s="2"/>
      <c r="B190" s="3"/>
      <c r="C190" s="2"/>
      <c r="D190" s="2"/>
      <c r="E190" s="2"/>
      <c r="F190" s="2"/>
      <c r="G190" s="2"/>
    </row>
    <row r="191" spans="1:7">
      <c r="A191" s="2"/>
      <c r="B191" s="3"/>
      <c r="C191" s="2"/>
      <c r="D191" s="2"/>
      <c r="E191" s="2"/>
      <c r="F191" s="2"/>
      <c r="G191" s="2"/>
    </row>
    <row r="192" spans="1:7">
      <c r="A192" s="2"/>
      <c r="B192" s="3"/>
      <c r="C192" s="2"/>
      <c r="D192" s="2"/>
      <c r="E192" s="2"/>
      <c r="F192" s="2"/>
      <c r="G192" s="2"/>
    </row>
    <row r="193" spans="1:7">
      <c r="A193" s="2"/>
      <c r="B193" s="3"/>
      <c r="C193" s="2"/>
      <c r="D193" s="2"/>
      <c r="E193" s="2"/>
      <c r="F193" s="2"/>
      <c r="G193" s="2"/>
    </row>
    <row r="194" spans="1:7">
      <c r="A194" s="2"/>
      <c r="B194" s="3"/>
      <c r="C194" s="2"/>
      <c r="D194" s="2"/>
      <c r="E194" s="2"/>
      <c r="F194" s="2"/>
      <c r="G194" s="2"/>
    </row>
    <row r="195" spans="1:7">
      <c r="A195" s="2"/>
      <c r="B195" s="3"/>
      <c r="C195" s="2"/>
      <c r="D195" s="2"/>
      <c r="E195" s="2"/>
      <c r="F195" s="2"/>
      <c r="G195" s="2"/>
    </row>
    <row r="196" spans="1:7">
      <c r="A196" s="2"/>
      <c r="B196" s="3"/>
      <c r="C196" s="2"/>
      <c r="D196" s="2"/>
      <c r="E196" s="2"/>
      <c r="F196" s="2"/>
      <c r="G196" s="2"/>
    </row>
    <row r="197" spans="1:7">
      <c r="A197" s="2"/>
      <c r="B197" s="3"/>
      <c r="C197" s="2"/>
      <c r="D197" s="2"/>
      <c r="E197" s="2"/>
      <c r="F197" s="2"/>
      <c r="G197" s="2"/>
    </row>
    <row r="198" spans="1:7">
      <c r="A198" s="2"/>
      <c r="B198" s="3"/>
      <c r="C198" s="2"/>
      <c r="D198" s="2"/>
      <c r="E198" s="2"/>
      <c r="F198" s="2"/>
      <c r="G198" s="2"/>
    </row>
    <row r="199" spans="1:7">
      <c r="A199" s="2"/>
      <c r="B199" s="3"/>
      <c r="C199" s="2"/>
      <c r="D199" s="2"/>
      <c r="E199" s="2"/>
      <c r="F199" s="2"/>
      <c r="G199" s="2"/>
    </row>
    <row r="200" spans="1:7">
      <c r="A200" s="2"/>
      <c r="B200" s="3"/>
      <c r="C200" s="2"/>
      <c r="D200" s="2"/>
      <c r="E200" s="2"/>
      <c r="F200" s="2"/>
      <c r="G200" s="2"/>
    </row>
    <row r="201" spans="1:7">
      <c r="A201" s="2"/>
      <c r="B201" s="3"/>
      <c r="C201" s="2"/>
      <c r="D201" s="2"/>
      <c r="E201" s="2"/>
      <c r="F201" s="2"/>
      <c r="G201" s="2"/>
    </row>
    <row r="202" spans="1:7">
      <c r="A202" s="2"/>
      <c r="B202" s="3"/>
      <c r="C202" s="2"/>
      <c r="D202" s="2"/>
      <c r="E202" s="2"/>
      <c r="F202" s="2"/>
      <c r="G202" s="2"/>
    </row>
    <row r="203" spans="1:7">
      <c r="A203" s="2"/>
      <c r="B203" s="3"/>
      <c r="C203" s="2"/>
      <c r="D203" s="2"/>
      <c r="E203" s="2"/>
      <c r="F203" s="2"/>
      <c r="G203" s="2"/>
    </row>
    <row r="204" spans="1:7">
      <c r="A204" s="2"/>
      <c r="B204" s="3"/>
      <c r="C204" s="2"/>
      <c r="D204" s="2"/>
      <c r="E204" s="2"/>
      <c r="F204" s="2"/>
      <c r="G204" s="2"/>
    </row>
    <row r="205" spans="1:7">
      <c r="A205" s="2"/>
      <c r="B205" s="3"/>
      <c r="C205" s="2"/>
      <c r="D205" s="2"/>
      <c r="E205" s="2"/>
      <c r="F205" s="2"/>
      <c r="G205" s="2"/>
    </row>
    <row r="206" spans="1:7">
      <c r="A206" s="2"/>
      <c r="B206" s="3"/>
      <c r="C206" s="2"/>
      <c r="D206" s="2"/>
      <c r="E206" s="2"/>
      <c r="F206" s="2"/>
      <c r="G206" s="2"/>
    </row>
    <row r="207" spans="1:7">
      <c r="A207" s="2"/>
      <c r="B207" s="3"/>
      <c r="C207" s="2"/>
      <c r="D207" s="2"/>
      <c r="E207" s="2"/>
      <c r="F207" s="2"/>
      <c r="G207" s="2"/>
    </row>
    <row r="208" spans="1:7">
      <c r="A208" s="2"/>
      <c r="B208" s="3"/>
      <c r="C208" s="2"/>
      <c r="D208" s="2"/>
      <c r="E208" s="2"/>
      <c r="F208" s="2"/>
      <c r="G208" s="2"/>
    </row>
    <row r="209" spans="1:7">
      <c r="A209" s="2"/>
      <c r="B209" s="3"/>
      <c r="C209" s="2"/>
      <c r="D209" s="2"/>
      <c r="E209" s="2"/>
      <c r="F209" s="2"/>
      <c r="G209" s="2"/>
    </row>
    <row r="210" spans="1:7">
      <c r="A210" s="2"/>
      <c r="B210" s="3"/>
      <c r="C210" s="2"/>
      <c r="D210" s="2"/>
      <c r="E210" s="2"/>
      <c r="F210" s="2"/>
      <c r="G210" s="2"/>
    </row>
    <row r="211" spans="1:7">
      <c r="A211" s="2"/>
      <c r="B211" s="3"/>
      <c r="C211" s="2"/>
      <c r="D211" s="2"/>
      <c r="E211" s="2"/>
      <c r="F211" s="2"/>
      <c r="G211" s="2"/>
    </row>
    <row r="212" spans="1:7">
      <c r="A212" s="2"/>
      <c r="B212" s="3"/>
      <c r="C212" s="2"/>
      <c r="D212" s="2"/>
      <c r="E212" s="2"/>
      <c r="F212" s="2"/>
      <c r="G212" s="2"/>
    </row>
    <row r="213" spans="1:7">
      <c r="A213" s="2"/>
      <c r="B213" s="3"/>
      <c r="C213" s="2"/>
      <c r="D213" s="2"/>
      <c r="E213" s="2"/>
      <c r="F213" s="2"/>
      <c r="G213" s="2"/>
    </row>
    <row r="214" spans="1:7">
      <c r="A214" s="2"/>
      <c r="B214" s="3"/>
      <c r="C214" s="2"/>
      <c r="D214" s="2"/>
      <c r="E214" s="2"/>
      <c r="F214" s="2"/>
      <c r="G214" s="2"/>
    </row>
    <row r="215" spans="1:7">
      <c r="A215" s="2"/>
      <c r="B215" s="3"/>
      <c r="C215" s="2"/>
      <c r="D215" s="2"/>
      <c r="E215" s="2"/>
      <c r="F215" s="2"/>
      <c r="G215" s="2"/>
    </row>
    <row r="216" spans="1:7">
      <c r="A216" s="2"/>
      <c r="B216" s="3"/>
      <c r="C216" s="2"/>
      <c r="D216" s="2"/>
      <c r="E216" s="2"/>
      <c r="F216" s="2"/>
      <c r="G216" s="2"/>
    </row>
    <row r="217" spans="1:7">
      <c r="A217" s="2"/>
      <c r="B217" s="3"/>
      <c r="C217" s="2"/>
      <c r="D217" s="2"/>
      <c r="E217" s="2"/>
      <c r="F217" s="2"/>
      <c r="G217" s="2"/>
    </row>
    <row r="218" spans="1:7">
      <c r="A218" s="2"/>
      <c r="B218" s="3"/>
      <c r="C218" s="2"/>
      <c r="D218" s="2"/>
      <c r="E218" s="2"/>
      <c r="F218" s="2"/>
      <c r="G218" s="2"/>
    </row>
    <row r="219" spans="1:7">
      <c r="A219" s="2"/>
      <c r="B219" s="3"/>
      <c r="C219" s="2"/>
      <c r="D219" s="2"/>
      <c r="E219" s="2"/>
      <c r="F219" s="2"/>
      <c r="G219" s="2"/>
    </row>
    <row r="220" spans="1:7">
      <c r="A220" s="2"/>
      <c r="B220" s="3"/>
      <c r="C220" s="2"/>
      <c r="D220" s="2"/>
      <c r="E220" s="2"/>
      <c r="F220" s="2"/>
      <c r="G220" s="2"/>
    </row>
    <row r="221" spans="1:7">
      <c r="A221" s="2"/>
      <c r="B221" s="3"/>
      <c r="C221" s="2"/>
      <c r="D221" s="2"/>
      <c r="E221" s="2"/>
      <c r="F221" s="2"/>
      <c r="G221" s="2"/>
    </row>
    <row r="222" spans="1:7">
      <c r="A222" s="2"/>
      <c r="B222" s="3"/>
      <c r="C222" s="2"/>
      <c r="D222" s="2"/>
      <c r="E222" s="2"/>
      <c r="F222" s="2"/>
      <c r="G222" s="2"/>
    </row>
    <row r="223" spans="1:7">
      <c r="A223" s="2"/>
      <c r="B223" s="3"/>
      <c r="C223" s="2"/>
      <c r="D223" s="2"/>
      <c r="E223" s="2"/>
      <c r="F223" s="2"/>
      <c r="G223" s="2"/>
    </row>
    <row r="224" spans="1:7">
      <c r="A224" s="2"/>
      <c r="B224" s="3"/>
      <c r="C224" s="2"/>
      <c r="D224" s="2"/>
      <c r="E224" s="2"/>
      <c r="F224" s="2"/>
      <c r="G224" s="2"/>
    </row>
    <row r="225" spans="1:7">
      <c r="A225" s="2"/>
      <c r="B225" s="3"/>
      <c r="C225" s="2"/>
      <c r="D225" s="2"/>
      <c r="E225" s="2"/>
      <c r="F225" s="2"/>
      <c r="G225" s="2"/>
    </row>
    <row r="226" spans="1:7">
      <c r="A226" s="2"/>
      <c r="B226" s="3"/>
      <c r="C226" s="2"/>
      <c r="D226" s="2"/>
      <c r="E226" s="2"/>
      <c r="F226" s="2"/>
      <c r="G226" s="2"/>
    </row>
    <row r="227" spans="1:7">
      <c r="A227" s="2"/>
      <c r="B227" s="3"/>
      <c r="C227" s="2"/>
      <c r="D227" s="2"/>
      <c r="E227" s="2"/>
      <c r="F227" s="2"/>
      <c r="G227" s="2"/>
    </row>
    <row r="228" spans="1:7">
      <c r="A228" s="2"/>
      <c r="B228" s="3"/>
      <c r="C228" s="2"/>
      <c r="D228" s="2"/>
      <c r="E228" s="2"/>
      <c r="F228" s="2"/>
      <c r="G228" s="2"/>
    </row>
    <row r="229" spans="1:7">
      <c r="A229" s="2"/>
      <c r="B229" s="3"/>
      <c r="C229" s="2"/>
      <c r="D229" s="2"/>
      <c r="E229" s="2"/>
      <c r="F229" s="2"/>
      <c r="G229" s="2"/>
    </row>
    <row r="230" spans="1:7">
      <c r="A230" s="2"/>
      <c r="B230" s="3"/>
      <c r="C230" s="2"/>
      <c r="D230" s="2"/>
      <c r="E230" s="2"/>
      <c r="F230" s="2"/>
      <c r="G230" s="2"/>
    </row>
    <row r="231" spans="1:7">
      <c r="A231" s="2"/>
      <c r="B231" s="3"/>
      <c r="C231" s="2"/>
      <c r="D231" s="2"/>
      <c r="E231" s="2"/>
      <c r="F231" s="2"/>
      <c r="G231" s="2"/>
    </row>
    <row r="232" spans="1:7">
      <c r="A232" s="2"/>
      <c r="B232" s="3"/>
      <c r="C232" s="2"/>
      <c r="D232" s="2"/>
      <c r="E232" s="2"/>
      <c r="F232" s="2"/>
      <c r="G232" s="2"/>
    </row>
    <row r="233" spans="1:7">
      <c r="A233" s="2"/>
      <c r="B233" s="3"/>
      <c r="C233" s="2"/>
      <c r="D233" s="2"/>
      <c r="E233" s="2"/>
      <c r="F233" s="2"/>
      <c r="G233" s="2"/>
    </row>
    <row r="234" spans="1:7">
      <c r="A234" s="2"/>
      <c r="B234" s="3"/>
      <c r="C234" s="2"/>
      <c r="D234" s="2"/>
      <c r="E234" s="2"/>
      <c r="F234" s="2"/>
      <c r="G234" s="2"/>
    </row>
    <row r="235" spans="1:7">
      <c r="A235" s="2"/>
      <c r="B235" s="3"/>
      <c r="C235" s="2"/>
      <c r="D235" s="2"/>
      <c r="E235" s="2"/>
      <c r="F235" s="2"/>
      <c r="G235" s="2"/>
    </row>
    <row r="236" spans="1:7">
      <c r="A236" s="2"/>
      <c r="B236" s="3"/>
      <c r="C236" s="2"/>
      <c r="D236" s="2"/>
      <c r="E236" s="2"/>
      <c r="F236" s="2"/>
      <c r="G236" s="2"/>
    </row>
    <row r="237" spans="1:7">
      <c r="A237" s="2"/>
      <c r="B237" s="3"/>
      <c r="C237" s="2"/>
      <c r="D237" s="2"/>
      <c r="E237" s="2"/>
      <c r="F237" s="2"/>
      <c r="G237" s="2"/>
    </row>
    <row r="238" spans="1:7">
      <c r="A238" s="2"/>
      <c r="B238" s="3"/>
      <c r="C238" s="2"/>
      <c r="D238" s="2"/>
      <c r="E238" s="2"/>
      <c r="F238" s="2"/>
      <c r="G238" s="2"/>
    </row>
    <row r="239" spans="1:7">
      <c r="A239" s="2"/>
      <c r="B239" s="3"/>
      <c r="C239" s="2"/>
      <c r="D239" s="2"/>
      <c r="E239" s="2"/>
      <c r="F239" s="2"/>
      <c r="G239" s="2"/>
    </row>
    <row r="240" spans="1:7">
      <c r="A240" s="2"/>
      <c r="B240" s="3"/>
      <c r="C240" s="2"/>
      <c r="D240" s="2"/>
      <c r="E240" s="2"/>
      <c r="F240" s="2"/>
      <c r="G240" s="2"/>
    </row>
    <row r="241" spans="1:7">
      <c r="A241" s="2"/>
      <c r="B241" s="3"/>
      <c r="C241" s="2"/>
      <c r="D241" s="2"/>
      <c r="E241" s="2"/>
      <c r="F241" s="2"/>
      <c r="G241" s="2"/>
    </row>
    <row r="242" spans="1:7">
      <c r="A242" s="2"/>
      <c r="B242" s="3"/>
      <c r="C242" s="2"/>
      <c r="D242" s="2"/>
      <c r="E242" s="2"/>
      <c r="F242" s="2"/>
      <c r="G242" s="2"/>
    </row>
    <row r="243" spans="1:7">
      <c r="A243" s="2"/>
      <c r="B243" s="3"/>
      <c r="C243" s="2"/>
      <c r="D243" s="2"/>
      <c r="E243" s="2"/>
      <c r="F243" s="2"/>
      <c r="G243" s="2"/>
    </row>
    <row r="244" spans="1:7">
      <c r="A244" s="2"/>
      <c r="B244" s="3"/>
      <c r="C244" s="2"/>
      <c r="D244" s="2"/>
      <c r="E244" s="2"/>
      <c r="F244" s="2"/>
      <c r="G244" s="2"/>
    </row>
    <row r="245" spans="1:7">
      <c r="A245" s="2"/>
      <c r="B245" s="3"/>
      <c r="C245" s="2"/>
      <c r="D245" s="2"/>
      <c r="E245" s="2"/>
      <c r="F245" s="2"/>
      <c r="G245" s="2"/>
    </row>
    <row r="246" spans="1:7">
      <c r="A246" s="2"/>
      <c r="B246" s="3"/>
      <c r="C246" s="2"/>
      <c r="D246" s="2"/>
      <c r="E246" s="2"/>
      <c r="F246" s="2"/>
      <c r="G246" s="2"/>
    </row>
    <row r="247" spans="1:7">
      <c r="A247" s="2"/>
      <c r="B247" s="3"/>
      <c r="C247" s="2"/>
      <c r="D247" s="2"/>
      <c r="E247" s="2"/>
      <c r="F247" s="2"/>
      <c r="G247" s="2"/>
    </row>
    <row r="248" spans="1:7">
      <c r="A248" s="2"/>
      <c r="B248" s="3"/>
      <c r="C248" s="2"/>
      <c r="D248" s="2"/>
      <c r="E248" s="2"/>
      <c r="F248" s="2"/>
      <c r="G248" s="2"/>
    </row>
    <row r="249" spans="1:7">
      <c r="A249" s="2"/>
      <c r="B249" s="3"/>
      <c r="C249" s="2"/>
      <c r="D249" s="2"/>
      <c r="E249" s="2"/>
      <c r="F249" s="2"/>
      <c r="G249" s="2"/>
    </row>
    <row r="250" spans="1:7">
      <c r="A250" s="2"/>
      <c r="B250" s="3"/>
      <c r="C250" s="2"/>
      <c r="D250" s="2"/>
      <c r="E250" s="2"/>
      <c r="F250" s="2"/>
      <c r="G250" s="2"/>
    </row>
    <row r="251" spans="1:7">
      <c r="A251" s="2"/>
      <c r="B251" s="3"/>
      <c r="C251" s="2"/>
      <c r="D251" s="2"/>
      <c r="E251" s="2"/>
      <c r="F251" s="2"/>
      <c r="G251" s="2"/>
    </row>
    <row r="252" spans="1:7">
      <c r="A252" s="2"/>
      <c r="B252" s="3"/>
      <c r="C252" s="2"/>
      <c r="D252" s="2"/>
      <c r="E252" s="2"/>
      <c r="F252" s="2"/>
      <c r="G252" s="2"/>
    </row>
    <row r="253" spans="1:7">
      <c r="A253" s="2"/>
      <c r="B253" s="3"/>
      <c r="C253" s="2"/>
      <c r="D253" s="2"/>
      <c r="E253" s="2"/>
      <c r="F253" s="2"/>
      <c r="G253" s="2"/>
    </row>
    <row r="254" spans="1:7">
      <c r="A254" s="2"/>
      <c r="B254" s="3"/>
      <c r="C254" s="2"/>
      <c r="D254" s="2"/>
      <c r="E254" s="2"/>
      <c r="F254" s="2"/>
      <c r="G254" s="2"/>
    </row>
    <row r="255" spans="1:7">
      <c r="A255" s="2"/>
      <c r="B255" s="3"/>
      <c r="C255" s="2"/>
      <c r="D255" s="2"/>
      <c r="E255" s="2"/>
      <c r="F255" s="2"/>
      <c r="G255" s="2"/>
    </row>
    <row r="256" spans="1:7">
      <c r="A256" s="2"/>
      <c r="B256" s="3"/>
      <c r="C256" s="2"/>
      <c r="D256" s="2"/>
      <c r="E256" s="2"/>
      <c r="F256" s="2"/>
      <c r="G256" s="2"/>
    </row>
    <row r="257" spans="1:7">
      <c r="A257" s="2"/>
      <c r="B257" s="3"/>
      <c r="C257" s="2"/>
      <c r="D257" s="2"/>
      <c r="E257" s="2"/>
      <c r="F257" s="2"/>
      <c r="G257" s="2"/>
    </row>
    <row r="258" spans="1:7">
      <c r="A258" s="2"/>
      <c r="B258" s="3"/>
      <c r="C258" s="2"/>
      <c r="D258" s="2"/>
      <c r="E258" s="2"/>
      <c r="F258" s="2"/>
      <c r="G258" s="2"/>
    </row>
    <row r="259" spans="1:7">
      <c r="A259" s="2"/>
      <c r="B259" s="3"/>
      <c r="C259" s="2"/>
      <c r="D259" s="2"/>
      <c r="E259" s="2"/>
      <c r="F259" s="2"/>
      <c r="G259" s="2"/>
    </row>
    <row r="260" spans="1:7">
      <c r="A260" s="2"/>
      <c r="B260" s="3"/>
      <c r="C260" s="2"/>
      <c r="D260" s="2"/>
      <c r="E260" s="2"/>
      <c r="F260" s="2"/>
      <c r="G260" s="2"/>
    </row>
    <row r="261" spans="1:7">
      <c r="A261" s="2"/>
      <c r="B261" s="3"/>
      <c r="C261" s="2"/>
      <c r="D261" s="2"/>
      <c r="E261" s="2"/>
      <c r="F261" s="2"/>
      <c r="G261" s="2"/>
    </row>
    <row r="262" spans="1:7">
      <c r="A262" s="2"/>
      <c r="B262" s="3"/>
      <c r="C262" s="2"/>
      <c r="D262" s="2"/>
      <c r="E262" s="2"/>
      <c r="F262" s="2"/>
      <c r="G262" s="2"/>
    </row>
    <row r="263" spans="1:7">
      <c r="A263" s="2"/>
      <c r="B263" s="3"/>
      <c r="C263" s="2"/>
      <c r="D263" s="2"/>
      <c r="E263" s="2"/>
      <c r="F263" s="2"/>
      <c r="G263" s="2"/>
    </row>
    <row r="264" spans="1:7">
      <c r="A264" s="2"/>
      <c r="B264" s="3"/>
      <c r="C264" s="2"/>
      <c r="D264" s="2"/>
      <c r="E264" s="2"/>
      <c r="F264" s="2"/>
      <c r="G264" s="2"/>
    </row>
    <row r="265" spans="1:7">
      <c r="A265" s="2"/>
      <c r="B265" s="3"/>
      <c r="C265" s="2"/>
      <c r="D265" s="2"/>
      <c r="E265" s="2"/>
      <c r="F265" s="2"/>
      <c r="G265" s="2"/>
    </row>
    <row r="266" spans="1:7">
      <c r="A266" s="2"/>
      <c r="B266" s="3"/>
      <c r="C266" s="2"/>
      <c r="D266" s="2"/>
      <c r="E266" s="2"/>
      <c r="F266" s="2"/>
      <c r="G266" s="2"/>
    </row>
    <row r="267" spans="1:7">
      <c r="A267" s="2"/>
      <c r="B267" s="3"/>
      <c r="C267" s="2"/>
      <c r="D267" s="2"/>
      <c r="E267" s="2"/>
      <c r="F267" s="2"/>
      <c r="G267" s="2"/>
    </row>
    <row r="268" spans="1:7">
      <c r="A268" s="2"/>
      <c r="B268" s="3"/>
      <c r="C268" s="2"/>
      <c r="D268" s="2"/>
      <c r="E268" s="2"/>
      <c r="F268" s="2"/>
      <c r="G268" s="2"/>
    </row>
    <row r="269" spans="1:7">
      <c r="A269" s="2"/>
      <c r="B269" s="3"/>
      <c r="C269" s="2"/>
      <c r="D269" s="2"/>
      <c r="E269" s="2"/>
      <c r="F269" s="2"/>
      <c r="G269" s="2"/>
    </row>
    <row r="270" spans="1:7">
      <c r="A270" s="2"/>
      <c r="B270" s="3"/>
      <c r="C270" s="2"/>
      <c r="D270" s="2"/>
      <c r="E270" s="2"/>
      <c r="F270" s="2"/>
      <c r="G270" s="2"/>
    </row>
    <row r="271" spans="1:7">
      <c r="A271" s="2"/>
      <c r="B271" s="3"/>
      <c r="C271" s="2"/>
      <c r="D271" s="2"/>
      <c r="E271" s="2"/>
      <c r="F271" s="2"/>
      <c r="G271" s="2"/>
    </row>
    <row r="272" spans="1:7">
      <c r="A272" s="2"/>
      <c r="B272" s="3"/>
      <c r="C272" s="2"/>
      <c r="D272" s="2"/>
      <c r="E272" s="2"/>
      <c r="F272" s="2"/>
      <c r="G272" s="2"/>
    </row>
    <row r="273" spans="1:7">
      <c r="A273" s="2"/>
      <c r="B273" s="3"/>
      <c r="C273" s="2"/>
      <c r="D273" s="2"/>
      <c r="E273" s="2"/>
      <c r="F273" s="2"/>
      <c r="G273" s="2"/>
    </row>
    <row r="274" spans="1:7">
      <c r="A274" s="2"/>
      <c r="B274" s="3"/>
      <c r="C274" s="2"/>
      <c r="D274" s="2"/>
      <c r="E274" s="2"/>
      <c r="F274" s="2"/>
      <c r="G274" s="2"/>
    </row>
    <row r="275" spans="1:7">
      <c r="A275" s="2"/>
      <c r="B275" s="3"/>
      <c r="C275" s="2"/>
      <c r="D275" s="2"/>
      <c r="E275" s="2"/>
      <c r="F275" s="2"/>
      <c r="G275" s="2"/>
    </row>
    <row r="276" spans="1:7">
      <c r="A276" s="2"/>
      <c r="B276" s="3"/>
      <c r="C276" s="2"/>
      <c r="D276" s="2"/>
      <c r="E276" s="2"/>
      <c r="F276" s="2"/>
      <c r="G276" s="2"/>
    </row>
    <row r="277" spans="1:7">
      <c r="A277" s="2"/>
      <c r="B277" s="3"/>
      <c r="C277" s="2"/>
      <c r="D277" s="2"/>
      <c r="E277" s="2"/>
      <c r="F277" s="2"/>
      <c r="G277" s="2"/>
    </row>
    <row r="278" spans="1:7">
      <c r="A278" s="2"/>
      <c r="B278" s="3"/>
      <c r="C278" s="2"/>
      <c r="D278" s="2"/>
      <c r="E278" s="2"/>
      <c r="F278" s="2"/>
      <c r="G278" s="2"/>
    </row>
    <row r="279" spans="1:7">
      <c r="A279" s="2"/>
      <c r="B279" s="3"/>
      <c r="C279" s="2"/>
      <c r="D279" s="2"/>
      <c r="E279" s="2"/>
      <c r="F279" s="2"/>
      <c r="G279" s="2"/>
    </row>
    <row r="280" spans="1:7">
      <c r="A280" s="2"/>
      <c r="B280" s="3"/>
      <c r="C280" s="2"/>
      <c r="D280" s="2"/>
      <c r="E280" s="2"/>
      <c r="F280" s="2"/>
      <c r="G280" s="2"/>
    </row>
    <row r="281" spans="1:7">
      <c r="A281" s="2"/>
      <c r="B281" s="3"/>
      <c r="C281" s="2"/>
      <c r="D281" s="2"/>
      <c r="E281" s="2"/>
      <c r="F281" s="2"/>
      <c r="G281" s="2"/>
    </row>
    <row r="282" spans="1:7">
      <c r="A282" s="2"/>
      <c r="B282" s="3"/>
      <c r="C282" s="2"/>
      <c r="D282" s="2"/>
      <c r="E282" s="2"/>
      <c r="F282" s="2"/>
      <c r="G282" s="2"/>
    </row>
    <row r="283" spans="1:7">
      <c r="A283" s="2"/>
      <c r="B283" s="3"/>
      <c r="C283" s="2"/>
      <c r="D283" s="2"/>
      <c r="E283" s="2"/>
      <c r="F283" s="2"/>
      <c r="G283" s="2"/>
    </row>
    <row r="284" spans="1:7">
      <c r="A284" s="2"/>
      <c r="B284" s="3"/>
      <c r="C284" s="2"/>
      <c r="D284" s="2"/>
      <c r="E284" s="2"/>
      <c r="F284" s="2"/>
      <c r="G284" s="2"/>
    </row>
    <row r="285" spans="1:7">
      <c r="A285" s="2"/>
      <c r="B285" s="3"/>
      <c r="C285" s="2"/>
      <c r="D285" s="2"/>
      <c r="E285" s="2"/>
      <c r="F285" s="2"/>
      <c r="G285" s="2"/>
    </row>
    <row r="286" spans="1:7">
      <c r="A286" s="2"/>
      <c r="B286" s="3"/>
      <c r="C286" s="2"/>
      <c r="D286" s="2"/>
      <c r="E286" s="2"/>
      <c r="F286" s="2"/>
      <c r="G286" s="2"/>
    </row>
    <row r="287" spans="1:7">
      <c r="A287" s="2"/>
      <c r="B287" s="3"/>
      <c r="C287" s="2"/>
      <c r="D287" s="2"/>
      <c r="E287" s="2"/>
      <c r="F287" s="2"/>
      <c r="G287" s="2"/>
    </row>
    <row r="288" spans="1:7">
      <c r="A288" s="2"/>
      <c r="B288" s="3"/>
      <c r="C288" s="2"/>
      <c r="D288" s="2"/>
      <c r="E288" s="2"/>
      <c r="F288" s="2"/>
      <c r="G288" s="2"/>
    </row>
    <row r="289" spans="1:7">
      <c r="A289" s="2"/>
      <c r="B289" s="3"/>
      <c r="C289" s="2"/>
      <c r="D289" s="2"/>
      <c r="E289" s="2"/>
      <c r="F289" s="2"/>
      <c r="G289" s="2"/>
    </row>
    <row r="290" spans="1:7">
      <c r="A290" s="2"/>
      <c r="B290" s="3"/>
      <c r="C290" s="2"/>
      <c r="D290" s="2"/>
      <c r="E290" s="2"/>
      <c r="F290" s="2"/>
      <c r="G290" s="2"/>
    </row>
    <row r="291" spans="1:7">
      <c r="A291" s="2"/>
      <c r="B291" s="3"/>
      <c r="C291" s="2"/>
      <c r="D291" s="2"/>
      <c r="E291" s="2"/>
      <c r="F291" s="2"/>
      <c r="G291" s="2"/>
    </row>
    <row r="292" spans="1:7">
      <c r="A292" s="2"/>
      <c r="B292" s="3"/>
      <c r="C292" s="2"/>
      <c r="D292" s="2"/>
      <c r="E292" s="2"/>
      <c r="F292" s="2"/>
      <c r="G292" s="2"/>
    </row>
    <row r="293" spans="1:7">
      <c r="A293" s="2"/>
      <c r="B293" s="3"/>
      <c r="C293" s="2"/>
      <c r="D293" s="2"/>
      <c r="E293" s="2"/>
      <c r="F293" s="2"/>
      <c r="G293" s="2"/>
    </row>
    <row r="294" spans="1:7">
      <c r="A294" s="2"/>
      <c r="B294" s="3"/>
      <c r="C294" s="2"/>
      <c r="D294" s="2"/>
      <c r="E294" s="2"/>
      <c r="F294" s="2"/>
      <c r="G294" s="2"/>
    </row>
    <row r="295" spans="1:7">
      <c r="A295" s="2"/>
      <c r="B295" s="3"/>
      <c r="C295" s="2"/>
      <c r="D295" s="2"/>
      <c r="E295" s="2"/>
      <c r="F295" s="2"/>
      <c r="G295" s="2"/>
    </row>
    <row r="296" spans="1:7">
      <c r="A296" s="2"/>
      <c r="B296" s="3"/>
      <c r="C296" s="2"/>
      <c r="D296" s="2"/>
      <c r="E296" s="2"/>
      <c r="F296" s="2"/>
      <c r="G296" s="2"/>
    </row>
    <row r="297" spans="1:7">
      <c r="A297" s="2"/>
      <c r="B297" s="3"/>
      <c r="C297" s="2"/>
      <c r="D297" s="2"/>
      <c r="E297" s="2"/>
      <c r="F297" s="2"/>
      <c r="G297" s="2"/>
    </row>
    <row r="298" spans="1:7">
      <c r="A298" s="2"/>
      <c r="B298" s="3"/>
      <c r="C298" s="2"/>
      <c r="D298" s="2"/>
      <c r="E298" s="2"/>
      <c r="F298" s="2"/>
      <c r="G298" s="2"/>
    </row>
    <row r="299" spans="1:7">
      <c r="A299" s="2"/>
      <c r="B299" s="3"/>
      <c r="C299" s="2"/>
      <c r="D299" s="2"/>
      <c r="E299" s="2"/>
      <c r="F299" s="2"/>
      <c r="G299" s="2"/>
    </row>
    <row r="300" spans="1:7">
      <c r="A300" s="2"/>
      <c r="B300" s="3"/>
      <c r="C300" s="2"/>
      <c r="D300" s="2"/>
      <c r="E300" s="2"/>
      <c r="F300" s="2"/>
      <c r="G300" s="2"/>
    </row>
    <row r="301" spans="1:7">
      <c r="A301" s="2"/>
      <c r="B301" s="2"/>
      <c r="C301" s="2"/>
      <c r="D301" s="2"/>
      <c r="E301" s="2"/>
      <c r="F301" s="2"/>
      <c r="G301" s="2"/>
    </row>
    <row r="302" spans="1:7">
      <c r="A302" s="2"/>
      <c r="B302" s="2"/>
      <c r="C302" s="2"/>
      <c r="D302" s="2"/>
      <c r="E302" s="2"/>
      <c r="F302" s="2"/>
      <c r="G302" s="2"/>
    </row>
    <row r="303" spans="1:7">
      <c r="A303" s="2"/>
      <c r="B303" s="2"/>
      <c r="C303" s="2"/>
      <c r="D303" s="2"/>
      <c r="E303" s="2"/>
      <c r="F303" s="2"/>
      <c r="G303" s="2"/>
    </row>
    <row r="304" spans="1:7">
      <c r="A304" s="2"/>
      <c r="B304" s="2"/>
      <c r="C304" s="2"/>
      <c r="D304" s="2"/>
      <c r="E304" s="2"/>
      <c r="F304" s="2"/>
      <c r="G304" s="2"/>
    </row>
    <row r="305" spans="1:7">
      <c r="A305" s="2"/>
      <c r="B305" s="2"/>
      <c r="C305" s="2"/>
      <c r="D305" s="2"/>
      <c r="E305" s="2"/>
      <c r="F305" s="2"/>
      <c r="G305" s="2"/>
    </row>
    <row r="306" spans="1:7">
      <c r="A306" s="2"/>
      <c r="B306" s="2"/>
      <c r="C306" s="2"/>
      <c r="D306" s="2"/>
      <c r="E306" s="2"/>
      <c r="F306" s="2"/>
      <c r="G306" s="2"/>
    </row>
    <row r="307" spans="1:7">
      <c r="A307" s="2"/>
      <c r="B307" s="2"/>
      <c r="C307" s="2"/>
      <c r="D307" s="2"/>
      <c r="E307" s="2"/>
      <c r="F307" s="2"/>
      <c r="G307" s="2"/>
    </row>
    <row r="308" spans="1:7">
      <c r="A308" s="2"/>
      <c r="B308" s="2"/>
      <c r="C308" s="2"/>
      <c r="D308" s="2"/>
      <c r="E308" s="2"/>
      <c r="F308" s="2"/>
      <c r="G308" s="2"/>
    </row>
    <row r="309" spans="1:7">
      <c r="A309" s="2"/>
      <c r="B309" s="2"/>
      <c r="C309" s="2"/>
      <c r="D309" s="2"/>
      <c r="E309" s="2"/>
      <c r="F309" s="2"/>
      <c r="G309" s="2"/>
    </row>
    <row r="310" spans="1:7">
      <c r="A310" s="2"/>
      <c r="B310" s="2"/>
      <c r="C310" s="2"/>
      <c r="D310" s="2"/>
      <c r="E310" s="2"/>
      <c r="F310" s="2"/>
      <c r="G310" s="2"/>
    </row>
    <row r="311" spans="1:7">
      <c r="A311" s="2"/>
      <c r="B311" s="2"/>
      <c r="C311" s="2"/>
      <c r="D311" s="2"/>
      <c r="E311" s="2"/>
      <c r="F311" s="2"/>
      <c r="G311" s="2"/>
    </row>
    <row r="312" spans="1:7">
      <c r="A312" s="2"/>
      <c r="B312" s="2"/>
      <c r="C312" s="2"/>
      <c r="D312" s="2"/>
      <c r="E312" s="2"/>
      <c r="F312" s="2"/>
      <c r="G312" s="2"/>
    </row>
    <row r="313" spans="1:7">
      <c r="A313" s="2"/>
      <c r="B313" s="2"/>
      <c r="C313" s="2"/>
      <c r="D313" s="2"/>
      <c r="E313" s="2"/>
      <c r="F313" s="2"/>
      <c r="G313" s="2"/>
    </row>
    <row r="314" spans="1:7">
      <c r="A314" s="2"/>
      <c r="B314" s="2"/>
      <c r="C314" s="2"/>
      <c r="D314" s="2"/>
      <c r="E314" s="2"/>
      <c r="F314" s="2"/>
      <c r="G314" s="2"/>
    </row>
    <row r="315" spans="1:7">
      <c r="A315" s="2"/>
      <c r="B315" s="2"/>
      <c r="C315" s="2"/>
      <c r="D315" s="2"/>
      <c r="E315" s="2"/>
      <c r="F315" s="2"/>
      <c r="G315" s="2"/>
    </row>
    <row r="316" spans="1:7">
      <c r="A316" s="2"/>
      <c r="B316" s="2"/>
      <c r="C316" s="2"/>
      <c r="D316" s="2"/>
      <c r="E316" s="2"/>
      <c r="F316" s="2"/>
      <c r="G316" s="2"/>
    </row>
    <row r="317" spans="1:7">
      <c r="A317" s="2"/>
      <c r="B317" s="2"/>
      <c r="C317" s="2"/>
      <c r="D317" s="2"/>
      <c r="E317" s="2"/>
      <c r="F317" s="2"/>
      <c r="G317" s="2"/>
    </row>
    <row r="318" spans="1:7">
      <c r="A318" s="2"/>
      <c r="B318" s="2"/>
      <c r="C318" s="2"/>
      <c r="D318" s="2"/>
      <c r="E318" s="2"/>
      <c r="F318" s="2"/>
      <c r="G318" s="2"/>
    </row>
    <row r="319" spans="1:7">
      <c r="A319" s="2"/>
      <c r="B319" s="2"/>
      <c r="C319" s="2"/>
      <c r="D319" s="2"/>
      <c r="E319" s="2"/>
      <c r="F319" s="2"/>
      <c r="G319" s="2"/>
    </row>
    <row r="320" spans="1:7">
      <c r="A320" s="2"/>
      <c r="B320" s="2"/>
      <c r="C320" s="2"/>
      <c r="D320" s="2"/>
      <c r="E320" s="2"/>
      <c r="F320" s="2"/>
      <c r="G320" s="2"/>
    </row>
    <row r="321" spans="1:7">
      <c r="A321" s="2"/>
      <c r="B321" s="2"/>
      <c r="C321" s="2"/>
      <c r="D321" s="2"/>
      <c r="E321" s="2"/>
      <c r="F321" s="2"/>
      <c r="G321" s="2"/>
    </row>
    <row r="322" spans="1:7">
      <c r="A322" s="2"/>
      <c r="B322" s="2"/>
      <c r="C322" s="2"/>
      <c r="D322" s="2"/>
      <c r="E322" s="2"/>
      <c r="F322" s="2"/>
      <c r="G322" s="2"/>
    </row>
    <row r="323" spans="1:7">
      <c r="A323" s="2"/>
      <c r="B323" s="2"/>
      <c r="C323" s="2"/>
      <c r="D323" s="2"/>
      <c r="E323" s="2"/>
      <c r="F323" s="2"/>
      <c r="G323" s="2"/>
    </row>
    <row r="324" spans="1:7">
      <c r="A324" s="2"/>
      <c r="B324" s="2"/>
      <c r="C324" s="2"/>
      <c r="D324" s="2"/>
      <c r="E324" s="2"/>
      <c r="F324" s="2"/>
      <c r="G324" s="2"/>
    </row>
    <row r="325" spans="1:7">
      <c r="A325" s="2"/>
      <c r="B325" s="2"/>
      <c r="C325" s="2"/>
      <c r="D325" s="2"/>
      <c r="E325" s="2"/>
      <c r="F325" s="2"/>
      <c r="G325" s="2"/>
    </row>
    <row r="326" spans="1:7">
      <c r="A326" s="2"/>
      <c r="B326" s="2"/>
      <c r="C326" s="2"/>
      <c r="D326" s="2"/>
      <c r="E326" s="2"/>
      <c r="F326" s="2"/>
      <c r="G326" s="2"/>
    </row>
    <row r="327" spans="1:7">
      <c r="A327" s="2"/>
      <c r="B327" s="2"/>
      <c r="C327" s="2"/>
      <c r="D327" s="2"/>
      <c r="E327" s="2"/>
      <c r="F327" s="2"/>
      <c r="G327" s="2"/>
    </row>
    <row r="328" spans="1:7">
      <c r="A328" s="2"/>
      <c r="B328" s="2"/>
      <c r="C328" s="2"/>
      <c r="D328" s="2"/>
      <c r="E328" s="2"/>
      <c r="F328" s="2"/>
      <c r="G328" s="2"/>
    </row>
    <row r="329" spans="1:7">
      <c r="A329" s="2"/>
      <c r="B329" s="2"/>
      <c r="C329" s="2"/>
      <c r="D329" s="2"/>
      <c r="E329" s="2"/>
      <c r="F329" s="2"/>
      <c r="G329" s="2"/>
    </row>
    <row r="330" spans="1:7">
      <c r="A330" s="2"/>
      <c r="B330" s="2"/>
      <c r="C330" s="2"/>
      <c r="D330" s="2"/>
      <c r="E330" s="2"/>
      <c r="F330" s="2"/>
      <c r="G330" s="2"/>
    </row>
    <row r="331" spans="1:7">
      <c r="A331" s="2"/>
      <c r="B331" s="2"/>
      <c r="C331" s="2"/>
      <c r="D331" s="2"/>
      <c r="E331" s="2"/>
      <c r="F331" s="2"/>
      <c r="G331" s="2"/>
    </row>
    <row r="332" spans="1:7">
      <c r="A332" s="2"/>
      <c r="B332" s="2"/>
      <c r="C332" s="2"/>
      <c r="D332" s="2"/>
      <c r="E332" s="2"/>
      <c r="F332" s="2"/>
      <c r="G332" s="2"/>
    </row>
    <row r="333" spans="1:7">
      <c r="A333" s="2"/>
      <c r="B333" s="2"/>
      <c r="C333" s="2"/>
      <c r="D333" s="2"/>
      <c r="E333" s="2"/>
      <c r="F333" s="2"/>
      <c r="G333" s="2"/>
    </row>
    <row r="334" spans="1:7">
      <c r="A334" s="2"/>
      <c r="B334" s="2"/>
      <c r="C334" s="2"/>
      <c r="D334" s="2"/>
      <c r="E334" s="2"/>
      <c r="F334" s="2"/>
      <c r="G334" s="2"/>
    </row>
    <row r="335" spans="1:7">
      <c r="A335" s="2"/>
      <c r="B335" s="2"/>
      <c r="C335" s="2"/>
      <c r="D335" s="2"/>
      <c r="E335" s="2"/>
      <c r="F335" s="2"/>
      <c r="G335" s="2"/>
    </row>
    <row r="336" spans="1:7">
      <c r="A336" s="2"/>
      <c r="B336" s="2"/>
      <c r="C336" s="2"/>
      <c r="D336" s="2"/>
      <c r="E336" s="2"/>
      <c r="F336" s="2"/>
      <c r="G336" s="2"/>
    </row>
    <row r="337" spans="1:7">
      <c r="A337" s="2"/>
      <c r="B337" s="2"/>
      <c r="C337" s="2"/>
      <c r="D337" s="2"/>
      <c r="E337" s="2"/>
      <c r="F337" s="2"/>
      <c r="G337" s="2"/>
    </row>
    <row r="338" spans="1:7">
      <c r="A338" s="2"/>
      <c r="B338" s="2"/>
      <c r="C338" s="2"/>
      <c r="D338" s="2"/>
      <c r="E338" s="2"/>
      <c r="F338" s="2"/>
      <c r="G338" s="2"/>
    </row>
    <row r="339" spans="1:7">
      <c r="A339" s="2"/>
      <c r="B339" s="2"/>
      <c r="C339" s="2"/>
      <c r="D339" s="2"/>
      <c r="E339" s="2"/>
      <c r="F339" s="2"/>
      <c r="G339" s="2"/>
    </row>
    <row r="340" spans="1:7">
      <c r="A340" s="2"/>
      <c r="B340" s="2"/>
      <c r="C340" s="2"/>
      <c r="D340" s="2"/>
      <c r="E340" s="2"/>
      <c r="F340" s="2"/>
      <c r="G340" s="2"/>
    </row>
    <row r="341" spans="1:7">
      <c r="A341" s="2"/>
      <c r="B341" s="2"/>
      <c r="C341" s="2"/>
      <c r="D341" s="2"/>
      <c r="E341" s="2"/>
      <c r="F341" s="2"/>
      <c r="G341" s="2"/>
    </row>
    <row r="342" spans="1:7">
      <c r="A342" s="2"/>
      <c r="B342" s="2"/>
      <c r="C342" s="2"/>
      <c r="D342" s="2"/>
      <c r="E342" s="2"/>
      <c r="F342" s="2"/>
      <c r="G342" s="2"/>
    </row>
    <row r="343" spans="1:7">
      <c r="A343" s="2"/>
      <c r="B343" s="2"/>
      <c r="C343" s="2"/>
      <c r="D343" s="2"/>
      <c r="E343" s="2"/>
      <c r="F343" s="2"/>
      <c r="G343" s="2"/>
    </row>
    <row r="344" spans="1:7">
      <c r="A344" s="2"/>
      <c r="B344" s="2"/>
      <c r="C344" s="2"/>
      <c r="D344" s="2"/>
      <c r="E344" s="2"/>
      <c r="F344" s="2"/>
      <c r="G344" s="2"/>
    </row>
    <row r="345" spans="1:7">
      <c r="A345" s="2"/>
      <c r="B345" s="2"/>
      <c r="C345" s="2"/>
      <c r="D345" s="2"/>
      <c r="E345" s="2"/>
      <c r="F345" s="2"/>
      <c r="G345" s="2"/>
    </row>
    <row r="346" spans="1:7">
      <c r="A346" s="2"/>
      <c r="B346" s="2"/>
      <c r="C346" s="2"/>
      <c r="D346" s="2"/>
      <c r="E346" s="2"/>
      <c r="F346" s="2"/>
      <c r="G346" s="2"/>
    </row>
    <row r="347" spans="1:7">
      <c r="A347" s="2"/>
      <c r="B347" s="2"/>
      <c r="C347" s="2"/>
      <c r="D347" s="2"/>
      <c r="E347" s="2"/>
      <c r="F347" s="2"/>
      <c r="G347" s="2"/>
    </row>
    <row r="348" spans="1:7">
      <c r="A348" s="2"/>
      <c r="B348" s="2"/>
      <c r="C348" s="2"/>
      <c r="D348" s="2"/>
      <c r="E348" s="2"/>
      <c r="F348" s="2"/>
      <c r="G348" s="2"/>
    </row>
    <row r="349" spans="1:7">
      <c r="A349" s="2"/>
      <c r="B349" s="2"/>
      <c r="C349" s="2"/>
      <c r="D349" s="2"/>
      <c r="E349" s="2"/>
      <c r="F349" s="2"/>
      <c r="G349" s="2"/>
    </row>
    <row r="350" spans="1:7">
      <c r="A350" s="2"/>
      <c r="B350" s="2"/>
      <c r="C350" s="2"/>
      <c r="D350" s="2"/>
      <c r="E350" s="2"/>
      <c r="F350" s="2"/>
      <c r="G350" s="2"/>
    </row>
    <row r="351" spans="1:7">
      <c r="A351" s="2"/>
      <c r="B351" s="2"/>
      <c r="C351" s="2"/>
      <c r="D351" s="2"/>
      <c r="E351" s="2"/>
      <c r="F351" s="2"/>
      <c r="G351" s="2"/>
    </row>
    <row r="352" spans="1:7">
      <c r="A352" s="2"/>
      <c r="B352" s="2"/>
      <c r="C352" s="2"/>
      <c r="D352" s="2"/>
      <c r="E352" s="2"/>
      <c r="F352" s="2"/>
      <c r="G352" s="2"/>
    </row>
    <row r="353" spans="1:7">
      <c r="A353" s="2"/>
      <c r="B353" s="2"/>
      <c r="C353" s="2"/>
      <c r="D353" s="2"/>
      <c r="E353" s="2"/>
      <c r="F353" s="2"/>
      <c r="G353" s="2"/>
    </row>
    <row r="354" spans="1:7">
      <c r="A354" s="2"/>
      <c r="B354" s="2"/>
      <c r="C354" s="2"/>
      <c r="D354" s="2"/>
      <c r="E354" s="2"/>
      <c r="F354" s="2"/>
      <c r="G354" s="2"/>
    </row>
    <row r="355" spans="1:7">
      <c r="A355" s="2"/>
      <c r="B355" s="2"/>
      <c r="C355" s="2"/>
      <c r="D355" s="2"/>
      <c r="E355" s="2"/>
      <c r="F355" s="2"/>
      <c r="G355" s="2"/>
    </row>
    <row r="356" spans="1:7">
      <c r="A356" s="2"/>
      <c r="B356" s="2"/>
      <c r="C356" s="2"/>
      <c r="D356" s="2"/>
      <c r="E356" s="2"/>
      <c r="F356" s="2"/>
      <c r="G356" s="2"/>
    </row>
    <row r="357" spans="1:7">
      <c r="A357" s="2"/>
      <c r="B357" s="2"/>
      <c r="C357" s="2"/>
      <c r="D357" s="2"/>
      <c r="E357" s="2"/>
      <c r="F357" s="2"/>
      <c r="G357" s="2"/>
    </row>
    <row r="358" spans="1:7">
      <c r="A358" s="2"/>
      <c r="B358" s="2"/>
      <c r="C358" s="2"/>
      <c r="D358" s="2"/>
      <c r="E358" s="2"/>
      <c r="F358" s="2"/>
      <c r="G358" s="2"/>
    </row>
    <row r="359" spans="1:7">
      <c r="A359" s="2"/>
      <c r="B359" s="2"/>
      <c r="C359" s="2"/>
      <c r="D359" s="2"/>
      <c r="E359" s="2"/>
      <c r="F359" s="2"/>
      <c r="G359" s="2"/>
    </row>
    <row r="360" spans="1:7">
      <c r="A360" s="2"/>
      <c r="B360" s="2"/>
      <c r="C360" s="2"/>
      <c r="D360" s="2"/>
      <c r="E360" s="2"/>
      <c r="F360" s="2"/>
      <c r="G360" s="2"/>
    </row>
    <row r="361" spans="1:7">
      <c r="A361" s="2"/>
      <c r="B361" s="2"/>
      <c r="C361" s="2"/>
      <c r="D361" s="2"/>
      <c r="E361" s="2"/>
      <c r="F361" s="2"/>
      <c r="G361" s="2"/>
    </row>
    <row r="362" spans="1:7">
      <c r="A362" s="2"/>
      <c r="B362" s="2"/>
      <c r="C362" s="2"/>
      <c r="D362" s="2"/>
      <c r="E362" s="2"/>
      <c r="F362" s="2"/>
      <c r="G362" s="2"/>
    </row>
    <row r="363" spans="1:7">
      <c r="A363" s="2"/>
      <c r="B363" s="2"/>
      <c r="C363" s="2"/>
      <c r="D363" s="2"/>
      <c r="E363" s="2"/>
      <c r="F363" s="2"/>
      <c r="G363" s="2"/>
    </row>
    <row r="364" spans="1:7">
      <c r="A364" s="2"/>
      <c r="B364" s="2"/>
      <c r="C364" s="2"/>
      <c r="D364" s="2"/>
      <c r="E364" s="2"/>
      <c r="F364" s="2"/>
      <c r="G364" s="2"/>
    </row>
    <row r="365" spans="1:7">
      <c r="A365" s="2"/>
      <c r="B365" s="2"/>
      <c r="C365" s="2"/>
      <c r="D365" s="2"/>
      <c r="E365" s="2"/>
      <c r="F365" s="2"/>
      <c r="G365" s="2"/>
    </row>
    <row r="366" spans="1:7">
      <c r="A366" s="2"/>
      <c r="B366" s="2"/>
      <c r="C366" s="2"/>
      <c r="D366" s="2"/>
      <c r="E366" s="2"/>
      <c r="F366" s="2"/>
      <c r="G366" s="2"/>
    </row>
    <row r="367" spans="1:7">
      <c r="A367" s="2"/>
      <c r="B367" s="2"/>
      <c r="C367" s="2"/>
      <c r="D367" s="2"/>
      <c r="E367" s="2"/>
      <c r="F367" s="2"/>
      <c r="G367" s="2"/>
    </row>
    <row r="368" spans="1:7">
      <c r="A368" s="2"/>
      <c r="B368" s="2"/>
      <c r="C368" s="2"/>
      <c r="D368" s="2"/>
      <c r="E368" s="2"/>
      <c r="F368" s="2"/>
      <c r="G368" s="2"/>
    </row>
    <row r="369" spans="1:7">
      <c r="A369" s="2"/>
      <c r="B369" s="2"/>
      <c r="C369" s="2"/>
      <c r="D369" s="2"/>
      <c r="E369" s="2"/>
      <c r="F369" s="2"/>
      <c r="G369" s="2"/>
    </row>
    <row r="370" spans="1:7">
      <c r="A370" s="2"/>
      <c r="B370" s="2"/>
      <c r="C370" s="2"/>
      <c r="D370" s="2"/>
      <c r="E370" s="2"/>
      <c r="F370" s="2"/>
      <c r="G370" s="2"/>
    </row>
    <row r="371" spans="1:7">
      <c r="A371" s="2"/>
      <c r="B371" s="2"/>
      <c r="C371" s="2"/>
      <c r="D371" s="2"/>
      <c r="E371" s="2"/>
      <c r="F371" s="2"/>
      <c r="G371" s="2"/>
    </row>
    <row r="372" spans="1:7">
      <c r="A372" s="2"/>
      <c r="B372" s="2"/>
      <c r="C372" s="2"/>
      <c r="D372" s="2"/>
      <c r="E372" s="2"/>
      <c r="F372" s="2"/>
      <c r="G372" s="2"/>
    </row>
    <row r="373" spans="1:7">
      <c r="A373" s="2"/>
      <c r="B373" s="2"/>
      <c r="C373" s="2"/>
      <c r="D373" s="2"/>
      <c r="E373" s="2"/>
      <c r="F373" s="2"/>
      <c r="G373" s="2"/>
    </row>
    <row r="374" spans="1:7">
      <c r="A374" s="2"/>
      <c r="B374" s="2"/>
      <c r="C374" s="2"/>
      <c r="D374" s="2"/>
      <c r="E374" s="2"/>
      <c r="F374" s="2"/>
      <c r="G374" s="2"/>
    </row>
    <row r="375" spans="1:7">
      <c r="A375" s="2"/>
      <c r="B375" s="2"/>
      <c r="C375" s="2"/>
      <c r="D375" s="2"/>
      <c r="E375" s="2"/>
      <c r="F375" s="2"/>
      <c r="G375" s="2"/>
    </row>
    <row r="376" spans="1:7">
      <c r="A376" s="2"/>
      <c r="B376" s="2"/>
      <c r="C376" s="2"/>
      <c r="D376" s="2"/>
      <c r="E376" s="2"/>
      <c r="F376" s="2"/>
      <c r="G376" s="2"/>
    </row>
    <row r="377" spans="1:7">
      <c r="A377" s="2"/>
      <c r="B377" s="2"/>
      <c r="C377" s="2"/>
      <c r="D377" s="2"/>
      <c r="E377" s="2"/>
      <c r="F377" s="2"/>
      <c r="G377" s="2"/>
    </row>
    <row r="378" spans="1:7">
      <c r="A378" s="2"/>
      <c r="B378" s="2"/>
      <c r="C378" s="2"/>
      <c r="D378" s="2"/>
      <c r="E378" s="2"/>
      <c r="F378" s="2"/>
      <c r="G378" s="2"/>
    </row>
    <row r="379" spans="1:7">
      <c r="A379" s="2"/>
      <c r="B379" s="2"/>
      <c r="C379" s="2"/>
      <c r="D379" s="2"/>
      <c r="E379" s="2"/>
      <c r="F379" s="2"/>
      <c r="G379" s="2"/>
    </row>
    <row r="380" spans="1:7">
      <c r="A380" s="2"/>
      <c r="B380" s="2"/>
      <c r="C380" s="2"/>
      <c r="D380" s="2"/>
      <c r="E380" s="2"/>
      <c r="F380" s="2"/>
      <c r="G380" s="2"/>
    </row>
    <row r="381" spans="1:7">
      <c r="A381" s="2"/>
      <c r="B381" s="2"/>
      <c r="C381" s="2"/>
      <c r="D381" s="2"/>
      <c r="E381" s="2"/>
      <c r="F381" s="2"/>
      <c r="G381" s="2"/>
    </row>
    <row r="382" spans="1:7">
      <c r="A382" s="2"/>
      <c r="B382" s="2"/>
      <c r="C382" s="2"/>
      <c r="D382" s="2"/>
      <c r="E382" s="2"/>
      <c r="F382" s="2"/>
      <c r="G382" s="2"/>
    </row>
    <row r="383" spans="1:7">
      <c r="A383" s="2"/>
      <c r="B383" s="2"/>
      <c r="C383" s="2"/>
      <c r="D383" s="2"/>
      <c r="E383" s="2"/>
      <c r="F383" s="2"/>
      <c r="G383" s="2"/>
    </row>
    <row r="384" spans="1:7">
      <c r="A384" s="2"/>
      <c r="B384" s="2"/>
      <c r="C384" s="2"/>
      <c r="D384" s="2"/>
      <c r="E384" s="2"/>
      <c r="F384" s="2"/>
      <c r="G384" s="2"/>
    </row>
    <row r="385" spans="1:7">
      <c r="A385" s="2"/>
      <c r="B385" s="2"/>
      <c r="C385" s="2"/>
      <c r="D385" s="2"/>
      <c r="E385" s="2"/>
      <c r="F385" s="2"/>
      <c r="G385" s="2"/>
    </row>
    <row r="386" spans="1:7">
      <c r="A386" s="2"/>
      <c r="B386" s="2"/>
      <c r="C386" s="2"/>
      <c r="D386" s="2"/>
      <c r="E386" s="2"/>
      <c r="F386" s="2"/>
      <c r="G386" s="2"/>
    </row>
    <row r="387" spans="1:7">
      <c r="A387" s="2"/>
      <c r="B387" s="2"/>
      <c r="C387" s="2"/>
      <c r="D387" s="2"/>
      <c r="E387" s="2"/>
      <c r="F387" s="2"/>
      <c r="G387" s="2"/>
    </row>
    <row r="388" spans="1:7">
      <c r="A388" s="2"/>
      <c r="B388" s="2"/>
      <c r="C388" s="2"/>
      <c r="D388" s="2"/>
      <c r="E388" s="2"/>
      <c r="F388" s="2"/>
      <c r="G388" s="2"/>
    </row>
    <row r="389" spans="1:7">
      <c r="A389" s="2"/>
      <c r="B389" s="2"/>
      <c r="C389" s="2"/>
      <c r="D389" s="2"/>
      <c r="E389" s="2"/>
      <c r="F389" s="2"/>
      <c r="G389" s="2"/>
    </row>
    <row r="390" spans="1:7">
      <c r="A390" s="2"/>
      <c r="B390" s="2"/>
      <c r="C390" s="2"/>
      <c r="D390" s="2"/>
      <c r="E390" s="2"/>
      <c r="F390" s="2"/>
      <c r="G390" s="2"/>
    </row>
    <row r="391" spans="1:7">
      <c r="A391" s="2"/>
      <c r="B391" s="2"/>
      <c r="C391" s="2"/>
      <c r="D391" s="2"/>
      <c r="E391" s="2"/>
      <c r="F391" s="2"/>
      <c r="G391" s="2"/>
    </row>
    <row r="392" spans="1:7">
      <c r="A392" s="2"/>
      <c r="B392" s="2"/>
      <c r="C392" s="2"/>
      <c r="D392" s="2"/>
      <c r="E392" s="2"/>
      <c r="F392" s="2"/>
      <c r="G392" s="2"/>
    </row>
    <row r="393" spans="1:7">
      <c r="A393" s="2"/>
      <c r="B393" s="2"/>
      <c r="C393" s="2"/>
      <c r="D393" s="2"/>
      <c r="E393" s="2"/>
      <c r="F393" s="2"/>
      <c r="G393" s="2"/>
    </row>
    <row r="394" spans="1:7">
      <c r="A394" s="2"/>
      <c r="B394" s="2"/>
      <c r="C394" s="2"/>
      <c r="D394" s="2"/>
      <c r="E394" s="2"/>
      <c r="F394" s="2"/>
      <c r="G394" s="2"/>
    </row>
    <row r="395" spans="1:7">
      <c r="A395" s="2"/>
      <c r="B395" s="2"/>
      <c r="C395" s="2"/>
      <c r="D395" s="2"/>
      <c r="E395" s="2"/>
      <c r="F395" s="2"/>
      <c r="G395" s="2"/>
    </row>
    <row r="396" spans="1:7">
      <c r="A396" s="2"/>
      <c r="B396" s="2"/>
      <c r="C396" s="2"/>
      <c r="D396" s="2"/>
      <c r="E396" s="2"/>
      <c r="F396" s="2"/>
      <c r="G396" s="2"/>
    </row>
    <row r="397" spans="1:7">
      <c r="A397" s="2"/>
      <c r="B397" s="2"/>
      <c r="C397" s="2"/>
      <c r="D397" s="2"/>
      <c r="E397" s="2"/>
      <c r="F397" s="2"/>
      <c r="G397" s="2"/>
    </row>
    <row r="398" spans="1:7">
      <c r="A398" s="2"/>
      <c r="B398" s="2"/>
      <c r="C398" s="2"/>
      <c r="D398" s="2"/>
      <c r="E398" s="2"/>
      <c r="F398" s="2"/>
      <c r="G398" s="2"/>
    </row>
    <row r="399" spans="1:7">
      <c r="A399" s="2"/>
      <c r="B399" s="2"/>
      <c r="C399" s="2"/>
      <c r="D399" s="2"/>
      <c r="E399" s="2"/>
      <c r="F399" s="2"/>
      <c r="G399" s="2"/>
    </row>
    <row r="400" spans="1:7">
      <c r="A400" s="2"/>
      <c r="B400" s="2"/>
      <c r="C400" s="2"/>
      <c r="D400" s="2"/>
      <c r="E400" s="2"/>
      <c r="F400" s="2"/>
      <c r="G400" s="2"/>
    </row>
    <row r="401" spans="1:7">
      <c r="A401" s="2"/>
      <c r="B401" s="2"/>
      <c r="C401" s="2"/>
      <c r="D401" s="2"/>
      <c r="E401" s="2"/>
      <c r="F401" s="2"/>
      <c r="G401" s="2"/>
    </row>
    <row r="402" spans="1:7">
      <c r="A402" s="2"/>
      <c r="B402" s="2"/>
      <c r="C402" s="2"/>
      <c r="D402" s="2"/>
      <c r="E402" s="2"/>
      <c r="F402" s="2"/>
      <c r="G402" s="2"/>
    </row>
    <row r="403" spans="1:7">
      <c r="A403" s="2"/>
      <c r="B403" s="2"/>
      <c r="C403" s="2"/>
      <c r="D403" s="2"/>
      <c r="E403" s="2"/>
      <c r="F403" s="2"/>
      <c r="G403" s="2"/>
    </row>
    <row r="404" spans="1:7">
      <c r="A404" s="2"/>
      <c r="B404" s="2"/>
      <c r="C404" s="2"/>
      <c r="D404" s="2"/>
      <c r="E404" s="2"/>
      <c r="F404" s="2"/>
      <c r="G404" s="2"/>
    </row>
    <row r="405" spans="1:7">
      <c r="A405" s="2"/>
      <c r="B405" s="2"/>
      <c r="C405" s="2"/>
      <c r="D405" s="2"/>
      <c r="E405" s="2"/>
      <c r="F405" s="2"/>
      <c r="G405" s="2"/>
    </row>
    <row r="406" spans="1:7">
      <c r="A406" s="2"/>
      <c r="B406" s="2"/>
      <c r="C406" s="2"/>
      <c r="D406" s="2"/>
      <c r="E406" s="2"/>
      <c r="F406" s="2"/>
      <c r="G406" s="2"/>
    </row>
    <row r="407" spans="1:7">
      <c r="A407" s="2"/>
      <c r="B407" s="2"/>
      <c r="C407" s="2"/>
      <c r="D407" s="2"/>
      <c r="E407" s="2"/>
      <c r="F407" s="2"/>
      <c r="G407" s="2"/>
    </row>
    <row r="408" spans="1:7">
      <c r="A408" s="2"/>
      <c r="B408" s="2"/>
      <c r="C408" s="2"/>
      <c r="D408" s="2"/>
      <c r="E408" s="2"/>
      <c r="F408" s="2"/>
      <c r="G408" s="2"/>
    </row>
    <row r="409" spans="1:7">
      <c r="A409" s="2"/>
      <c r="B409" s="2"/>
      <c r="C409" s="2"/>
      <c r="D409" s="2"/>
      <c r="E409" s="2"/>
      <c r="F409" s="2"/>
      <c r="G409" s="2"/>
    </row>
    <row r="410" spans="1:7">
      <c r="A410" s="2"/>
      <c r="B410" s="2"/>
      <c r="C410" s="2"/>
      <c r="D410" s="2"/>
      <c r="E410" s="2"/>
      <c r="F410" s="2"/>
      <c r="G410" s="2"/>
    </row>
    <row r="411" spans="1:7">
      <c r="A411" s="2"/>
      <c r="B411" s="2"/>
      <c r="C411" s="2"/>
      <c r="D411" s="2"/>
      <c r="E411" s="2"/>
      <c r="F411" s="2"/>
      <c r="G411" s="2"/>
    </row>
    <row r="412" spans="1:7">
      <c r="A412" s="2"/>
      <c r="B412" s="2"/>
      <c r="C412" s="2"/>
      <c r="D412" s="2"/>
      <c r="E412" s="2"/>
      <c r="F412" s="2"/>
      <c r="G412" s="2"/>
    </row>
    <row r="413" spans="1:7">
      <c r="A413" s="2"/>
      <c r="B413" s="2"/>
      <c r="C413" s="2"/>
      <c r="D413" s="2"/>
      <c r="E413" s="2"/>
      <c r="F413" s="2"/>
      <c r="G413" s="2"/>
    </row>
    <row r="414" spans="1:7">
      <c r="A414" s="2"/>
      <c r="B414" s="2"/>
      <c r="C414" s="2"/>
      <c r="D414" s="2"/>
      <c r="E414" s="2"/>
      <c r="F414" s="2"/>
      <c r="G414" s="2"/>
    </row>
    <row r="415" spans="1:7">
      <c r="A415" s="2"/>
      <c r="B415" s="2"/>
      <c r="C415" s="2"/>
      <c r="D415" s="2"/>
      <c r="E415" s="2"/>
      <c r="F415" s="2"/>
      <c r="G415" s="2"/>
    </row>
    <row r="416" spans="1:7">
      <c r="A416" s="2"/>
      <c r="B416" s="2"/>
      <c r="C416" s="2"/>
      <c r="D416" s="2"/>
      <c r="E416" s="2"/>
      <c r="F416" s="2"/>
      <c r="G416" s="2"/>
    </row>
    <row r="417" spans="1:7">
      <c r="A417" s="2"/>
      <c r="B417" s="2"/>
      <c r="C417" s="2"/>
      <c r="D417" s="2"/>
      <c r="E417" s="2"/>
      <c r="F417" s="2"/>
      <c r="G417" s="2"/>
    </row>
    <row r="418" spans="1:7">
      <c r="A418" s="2"/>
      <c r="B418" s="2"/>
      <c r="C418" s="2"/>
      <c r="D418" s="2"/>
      <c r="E418" s="2"/>
      <c r="F418" s="2"/>
      <c r="G418" s="2"/>
    </row>
    <row r="419" spans="1:7">
      <c r="A419" s="2"/>
      <c r="B419" s="2"/>
      <c r="C419" s="2"/>
      <c r="D419" s="2"/>
      <c r="E419" s="2"/>
      <c r="F419" s="2"/>
      <c r="G419" s="2"/>
    </row>
    <row r="420" spans="1:7">
      <c r="A420" s="2"/>
      <c r="B420" s="2"/>
      <c r="C420" s="2"/>
      <c r="D420" s="2"/>
      <c r="E420" s="2"/>
      <c r="F420" s="2"/>
      <c r="G420" s="2"/>
    </row>
    <row r="421" spans="1:7">
      <c r="A421" s="2"/>
      <c r="B421" s="2"/>
      <c r="C421" s="2"/>
      <c r="D421" s="2"/>
      <c r="E421" s="2"/>
      <c r="F421" s="2"/>
      <c r="G421" s="2"/>
    </row>
    <row r="422" spans="1:7">
      <c r="A422" s="2"/>
      <c r="B422" s="2"/>
      <c r="C422" s="2"/>
      <c r="D422" s="2"/>
      <c r="E422" s="2"/>
      <c r="F422" s="2"/>
      <c r="G422" s="2"/>
    </row>
    <row r="423" spans="1:7">
      <c r="A423" s="2"/>
      <c r="B423" s="2"/>
      <c r="C423" s="2"/>
      <c r="D423" s="2"/>
      <c r="E423" s="2"/>
      <c r="F423" s="2"/>
      <c r="G423" s="2"/>
    </row>
    <row r="424" spans="1:7">
      <c r="A424" s="2"/>
      <c r="B424" s="2"/>
      <c r="C424" s="2"/>
      <c r="D424" s="2"/>
      <c r="E424" s="2"/>
      <c r="F424" s="2"/>
      <c r="G424" s="2"/>
    </row>
    <row r="425" spans="1:7">
      <c r="A425" s="2"/>
      <c r="B425" s="2"/>
      <c r="C425" s="2"/>
      <c r="D425" s="2"/>
      <c r="E425" s="2"/>
      <c r="F425" s="2"/>
      <c r="G425" s="2"/>
    </row>
    <row r="426" spans="1:7">
      <c r="A426" s="2"/>
      <c r="B426" s="2"/>
      <c r="C426" s="2"/>
      <c r="D426" s="2"/>
      <c r="E426" s="2"/>
      <c r="F426" s="2"/>
      <c r="G426" s="2"/>
    </row>
    <row r="427" spans="1:7">
      <c r="A427" s="2"/>
      <c r="B427" s="2"/>
      <c r="C427" s="2"/>
      <c r="D427" s="2"/>
      <c r="E427" s="2"/>
      <c r="F427" s="2"/>
      <c r="G427" s="2"/>
    </row>
    <row r="428" spans="1:7">
      <c r="A428" s="2"/>
      <c r="B428" s="2"/>
      <c r="C428" s="2"/>
      <c r="D428" s="2"/>
      <c r="E428" s="2"/>
      <c r="F428" s="2"/>
      <c r="G428" s="2"/>
    </row>
    <row r="429" spans="1:7">
      <c r="A429" s="2"/>
      <c r="B429" s="2"/>
      <c r="C429" s="2"/>
      <c r="D429" s="2"/>
      <c r="E429" s="2"/>
      <c r="F429" s="2"/>
      <c r="G429" s="2"/>
    </row>
    <row r="430" spans="1:7">
      <c r="A430" s="2"/>
      <c r="B430" s="2"/>
      <c r="C430" s="2"/>
      <c r="D430" s="2"/>
      <c r="E430" s="2"/>
      <c r="F430" s="2"/>
      <c r="G430" s="2"/>
    </row>
    <row r="431" spans="1:7">
      <c r="A431" s="2"/>
      <c r="B431" s="2"/>
      <c r="C431" s="2"/>
      <c r="D431" s="2"/>
      <c r="E431" s="2"/>
      <c r="F431" s="2"/>
      <c r="G431" s="2"/>
    </row>
    <row r="432" spans="1:7">
      <c r="A432" s="2"/>
      <c r="B432" s="2"/>
      <c r="C432" s="2"/>
      <c r="D432" s="2"/>
      <c r="E432" s="2"/>
      <c r="F432" s="2"/>
      <c r="G432" s="2"/>
    </row>
    <row r="433" spans="1:7">
      <c r="A433" s="2"/>
      <c r="B433" s="2"/>
      <c r="C433" s="2"/>
      <c r="D433" s="2"/>
      <c r="E433" s="2"/>
      <c r="F433" s="2"/>
      <c r="G433" s="2"/>
    </row>
    <row r="434" spans="1:7">
      <c r="A434" s="2"/>
      <c r="B434" s="2"/>
      <c r="C434" s="2"/>
      <c r="D434" s="2"/>
      <c r="E434" s="2"/>
      <c r="F434" s="2"/>
      <c r="G434" s="2"/>
    </row>
    <row r="435" spans="1:7">
      <c r="A435" s="2"/>
      <c r="B435" s="2"/>
      <c r="C435" s="2"/>
      <c r="D435" s="2"/>
      <c r="E435" s="2"/>
      <c r="F435" s="2"/>
      <c r="G435" s="2"/>
    </row>
  </sheetData>
  <mergeCells count="5">
    <mergeCell ref="A1:G1"/>
    <mergeCell ref="A3:G3"/>
    <mergeCell ref="A20:G20"/>
    <mergeCell ref="A44:B44"/>
    <mergeCell ref="A45:B45"/>
  </mergeCells>
  <pageMargins left="0.11811023622047245" right="0.11811023622047245" top="0.19685039370078741" bottom="0.15748031496062992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Тепло 2012г</vt:lpstr>
      <vt:lpstr>Тепло 2013г</vt:lpstr>
      <vt:lpstr>Вода 2012г</vt:lpstr>
      <vt:lpstr>Вода 2013г</vt:lpstr>
      <vt:lpstr>Водоотведение 2012г</vt:lpstr>
      <vt:lpstr>Водоотведение 2013г</vt:lpstr>
      <vt:lpstr>Тепло 1кв 2014г</vt:lpstr>
      <vt:lpstr>Вода 1кв 2014г</vt:lpstr>
      <vt:lpstr>Водоотведение 1кв 2014г</vt:lpstr>
      <vt:lpstr>Общая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2014-06-02T09:30:08Z</dcterms:modified>
</cp:coreProperties>
</file>